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Q:\Directive\Fiscal 2024\HE Directive\Excel files ready for testing\"/>
    </mc:Choice>
  </mc:AlternateContent>
  <xr:revisionPtr revIDLastSave="0" documentId="13_ncr:1_{F461C359-891E-40BC-A613-D1F64D8B9C6F}" xr6:coauthVersionLast="47" xr6:coauthVersionMax="47" xr10:uidLastSave="{00000000-0000-0000-0000-000000000000}"/>
  <workbookProtection workbookAlgorithmName="SHA-512" workbookHashValue="LF2cTeJRNxSGlFEmZbOPPNywQEoVMzpNEhE2UuefALdefK0TjDXOWwxrE80QlEfPYNWVLMbsRMXkNAHXNbg0Aw==" workbookSaltValue="2kGUnzw3EpPZ66mfaOYSzA==" workbookSpinCount="100000" lockStructure="1"/>
  <bookViews>
    <workbookView xWindow="-120" yWindow="-120" windowWidth="29040" windowHeight="15720" tabRatio="597" firstSheet="4" activeTab="4" xr2:uid="{00000000-000D-0000-FFFF-FFFF00000000}"/>
  </bookViews>
  <sheets>
    <sheet name="HEI-PY FST $" sheetId="64" state="hidden" r:id="rId1"/>
    <sheet name="Foundation-PY FST $" sheetId="65" state="hidden" r:id="rId2"/>
    <sheet name="HEI-PY Capital Assets" sheetId="66" state="hidden" r:id="rId3"/>
    <sheet name="HEI-PY LT Liabilities" sheetId="68" state="hidden" r:id="rId4"/>
    <sheet name="FST" sheetId="35" r:id="rId5"/>
    <sheet name="Combining FST" sheetId="15" r:id="rId6"/>
    <sheet name="Elimination Entries to FST" sheetId="43" r:id="rId7"/>
    <sheet name="HEI Flux" sheetId="53" r:id="rId8"/>
    <sheet name="Foundation Flux " sheetId="54" r:id="rId9"/>
    <sheet name="Checklist" sheetId="42" r:id="rId10"/>
    <sheet name="TAB 1A, GASBS 3" sheetId="16" r:id="rId11"/>
    <sheet name="TAB 2, Receivables" sheetId="2" r:id="rId12"/>
    <sheet name="TAB 3, Capital Assets" sheetId="9" r:id="rId13"/>
    <sheet name="TAB 5, LT Liabilities" sheetId="11" r:id="rId14"/>
    <sheet name="TAB 6, Commitments" sheetId="12" r:id="rId15"/>
    <sheet name="TAB 7, Miscellaneous" sheetId="3" r:id="rId16"/>
    <sheet name="TAB 8, Short-Term Debt" sheetId="13" r:id="rId17"/>
    <sheet name="TAB 9, Net Inv in Cap Assets" sheetId="48" r:id="rId18"/>
    <sheet name="TAB F1,  Cash,  Cash Eqv &amp; Inv" sheetId="20" r:id="rId19"/>
    <sheet name="TAB F2, SNAP &amp; LGIP" sheetId="21" r:id="rId20"/>
    <sheet name="TAB F3,  Receivables " sheetId="22" r:id="rId21"/>
    <sheet name="TAB F4,  Capital Assets" sheetId="23" r:id="rId22"/>
    <sheet name="TAB F5,  LT Liabilities" sheetId="24" r:id="rId23"/>
    <sheet name="TAB F5.1, LT Liabilities" sheetId="25" r:id="rId24"/>
    <sheet name="TAB F6, Commitments" sheetId="26" r:id="rId25"/>
    <sheet name="TAB F7, Miscellaneous" sheetId="27" r:id="rId26"/>
    <sheet name="TAB F8, Intrafund" sheetId="28" r:id="rId27"/>
    <sheet name="TAB F9, Short-Term Debt" sheetId="30" r:id="rId28"/>
    <sheet name="TAB F10, Net Inv in Cap Assets" sheetId="49" r:id="rId29"/>
    <sheet name="Certification" sheetId="50" r:id="rId30"/>
    <sheet name="HEI #-Acronym" sheetId="69" state="hidden" r:id="rId31"/>
  </sheets>
  <definedNames>
    <definedName name="_xlnm._FilterDatabase" localSheetId="8" hidden="1">'Foundation Flux '!$E$15:$E$78</definedName>
    <definedName name="_xlnm._FilterDatabase" localSheetId="7" hidden="1">'HEI Flux'!$E$15:$E$118</definedName>
    <definedName name="hg" hidden="1">{#N/A,#N/A,FALSE,"Fixed Assets";#N/A,#N/A,FALSE,"PPE Wksheet"}</definedName>
    <definedName name="_xlnm.Print_Area" localSheetId="4">FST!$A$1:$U$317</definedName>
    <definedName name="_xlnm.Print_Area" localSheetId="11">'TAB 2, Receivables'!$A$1:$O$55</definedName>
    <definedName name="_xlnm.Print_Area" localSheetId="12">'TAB 3, Capital Assets'!$A$1:$P$383</definedName>
    <definedName name="_xlnm.Print_Area" localSheetId="13">'TAB 5, LT Liabilities'!$A$1:$Q$415</definedName>
    <definedName name="_xlnm.Print_Area" localSheetId="14">'TAB 6, Commitments'!$A$1:$G$47</definedName>
    <definedName name="_xlnm.Print_Area" localSheetId="23">'TAB F5.1, LT Liabilities'!$A$1:$N$115</definedName>
    <definedName name="_xlnm.Print_Area" localSheetId="25">'TAB F7, Miscellaneous'!$A$1:$J$149</definedName>
    <definedName name="_xlnm.Print_Titles" localSheetId="9">Checklist!$15:$15</definedName>
    <definedName name="_xlnm.Print_Titles" localSheetId="5">'Combining FST'!$A:$E,'Combining FST'!$19:$20</definedName>
    <definedName name="_xlnm.Print_Titles" localSheetId="6">'Elimination Entries to FST'!$24:$25</definedName>
    <definedName name="_xlnm.Print_Titles" localSheetId="8">'Foundation Flux '!$15:$15</definedName>
    <definedName name="_xlnm.Print_Titles" localSheetId="1">'Foundation-PY FST $'!$A:$E,'Foundation-PY FST $'!$1:$1</definedName>
    <definedName name="_xlnm.Print_Titles" localSheetId="4">FST!$24:$25</definedName>
    <definedName name="_xlnm.Print_Titles" localSheetId="7">'HEI Flux'!$15:$15</definedName>
    <definedName name="_xlnm.Print_Titles" localSheetId="2">'HEI-PY Capital Assets'!$A:$A,'HEI-PY Capital Assets'!$1:$1</definedName>
    <definedName name="_xlnm.Print_Titles" localSheetId="0">'HEI-PY FST $'!$A:$E,'HEI-PY FST $'!$1:$1</definedName>
    <definedName name="_xlnm.Print_Titles" localSheetId="3">'HEI-PY LT Liabilities'!$A:$A,'HEI-PY LT Liabilities'!$1:$1</definedName>
    <definedName name="_xlnm.Print_Titles" localSheetId="18">'TAB F1,  Cash,  Cash Eqv &amp; Inv'!$A:$B</definedName>
    <definedName name="_xlnm.Print_Titles" localSheetId="28">'TAB F10, Net Inv in Cap Assets'!$13:$14</definedName>
    <definedName name="_xlnm.Print_Titles" localSheetId="19">'TAB F2, SNAP &amp; LGIP'!$16:$18</definedName>
    <definedName name="_xlnm.Print_Titles" localSheetId="20">'TAB F3,  Receivables '!$13:$16</definedName>
    <definedName name="_xlnm.Print_Titles" localSheetId="21">'TAB F4,  Capital Assets'!$16:$18</definedName>
    <definedName name="_xlnm.Print_Titles" localSheetId="23">'TAB F5.1, LT Liabilities'!$15:$16</definedName>
    <definedName name="_xlnm.Print_Titles" localSheetId="24">'TAB F6, Commitments'!$16:$19</definedName>
    <definedName name="_xlnm.Print_Titles" localSheetId="25">'TAB F7, Miscellaneous'!$13:$16</definedName>
    <definedName name="_xlnm.Print_Titles" localSheetId="26">'TAB F8, Intrafund'!$23:$26</definedName>
    <definedName name="wrn.Footnote._.8." localSheetId="29" hidden="1">{#N/A,#N/A,FALSE,"Fixed Assets";#N/A,#N/A,FALSE,"PPE Wksheet"}</definedName>
    <definedName name="wrn.Footnote._.8." localSheetId="5" hidden="1">{#N/A,#N/A,FALSE,"Fixed Assets";#N/A,#N/A,FALSE,"PPE Wksheet"}</definedName>
    <definedName name="wrn.Footnote._.8." localSheetId="6" hidden="1">{#N/A,#N/A,FALSE,"Fixed Assets";#N/A,#N/A,FALSE,"PPE Wksheet"}</definedName>
    <definedName name="wrn.Footnote._.8." localSheetId="8" hidden="1">{#N/A,#N/A,FALSE,"Fixed Assets";#N/A,#N/A,FALSE,"PPE Wksheet"}</definedName>
    <definedName name="wrn.Footnote._.8." localSheetId="4" hidden="1">{#N/A,#N/A,FALSE,"Fixed Assets";#N/A,#N/A,FALSE,"PPE Wksheet"}</definedName>
    <definedName name="wrn.Footnote._.8." localSheetId="12" hidden="1">{#N/A,#N/A,FALSE,"Fixed Assets";#N/A,#N/A,FALSE,"PPE Wksheet"}</definedName>
    <definedName name="wrn.Footnote._.8." localSheetId="13" hidden="1">{#N/A,#N/A,FALSE,"Fixed Assets";#N/A,#N/A,FALSE,"PPE Wksheet"}</definedName>
    <definedName name="wrn.Footnote._.8." localSheetId="14" hidden="1">{#N/A,#N/A,FALSE,"Fixed Assets";#N/A,#N/A,FALSE,"PPE Wksheet"}</definedName>
    <definedName name="wrn.Footnote._.8." localSheetId="15" hidden="1">{#N/A,#N/A,FALSE,"Fixed Assets";#N/A,#N/A,FALSE,"PPE Wksheet"}</definedName>
    <definedName name="wrn.Footnote._.8." localSheetId="17" hidden="1">{#N/A,#N/A,FALSE,"Fixed Assets";#N/A,#N/A,FALSE,"PPE Wksheet"}</definedName>
    <definedName name="wrn.Footnote._.8." localSheetId="18" hidden="1">{#N/A,#N/A,FALSE,"Fixed Assets";#N/A,#N/A,FALSE,"PPE Wksheet"}</definedName>
    <definedName name="wrn.Footnote._.8." localSheetId="28" hidden="1">{#N/A,#N/A,FALSE,"Fixed Assets";#N/A,#N/A,FALSE,"PPE Wksheet"}</definedName>
    <definedName name="wrn.Footnote._.8." localSheetId="19" hidden="1">{#N/A,#N/A,FALSE,"Fixed Assets";#N/A,#N/A,FALSE,"PPE Wksheet"}</definedName>
    <definedName name="wrn.Footnote._.8." localSheetId="20" hidden="1">{#N/A,#N/A,FALSE,"Fixed Assets";#N/A,#N/A,FALSE,"PPE Wksheet"}</definedName>
    <definedName name="wrn.Footnote._.8." localSheetId="21" hidden="1">{#N/A,#N/A,FALSE,"Fixed Assets";#N/A,#N/A,FALSE,"PPE Wksheet"}</definedName>
    <definedName name="wrn.Footnote._.8." localSheetId="23" hidden="1">{#N/A,#N/A,FALSE,"Fixed Assets";#N/A,#N/A,FALSE,"PPE Wksheet"}</definedName>
    <definedName name="wrn.Footnote._.8." localSheetId="24" hidden="1">{#N/A,#N/A,FALSE,"Fixed Assets";#N/A,#N/A,FALSE,"PPE Wksheet"}</definedName>
    <definedName name="wrn.Footnote._.8." localSheetId="25" hidden="1">{#N/A,#N/A,FALSE,"Fixed Assets";#N/A,#N/A,FALSE,"PPE Wksheet"}</definedName>
    <definedName name="wrn.Footnote._.8." localSheetId="26" hidden="1">{#N/A,#N/A,FALSE,"Fixed Assets";#N/A,#N/A,FALSE,"PPE Wksheet"}</definedName>
    <definedName name="wrn.Footnote._.8." localSheetId="27" hidden="1">{#N/A,#N/A,FALSE,"Fixed Assets";#N/A,#N/A,FALSE,"PPE Wksheet"}</definedName>
    <definedName name="wrn.Footnote._.8." hidden="1">{#N/A,#N/A,FALSE,"Fixed Assets";#N/A,#N/A,FALSE,"PPE Wksheet"}</definedName>
    <definedName name="Z_6849E161_4DFB_11D5_8CDD_0060945A34C9_.wvu.Rows" localSheetId="15" hidden="1">'TAB 7, Miscellaneous'!#REF!</definedName>
    <definedName name="Z_6849E161_4DFB_11D5_8CDD_0060945A34C9_.wvu.Rows" localSheetId="17" hidden="1">'TAB 9, Net Inv in Cap Assets'!#REF!</definedName>
    <definedName name="Z_6849E161_4DFB_11D5_8CDD_0060945A34C9_.wvu.Rows" localSheetId="28" hidden="1">'TAB F10, Net Inv in Cap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38" i="3" l="1"/>
  <c r="A536" i="3"/>
  <c r="A533" i="3"/>
  <c r="K194" i="11"/>
  <c r="G292" i="35" l="1"/>
  <c r="H118" i="43" l="1"/>
  <c r="C41" i="49"/>
  <c r="C40" i="49"/>
  <c r="F286" i="11" l="1"/>
  <c r="E259" i="11"/>
  <c r="E261" i="11"/>
  <c r="E260" i="11"/>
  <c r="B266" i="11"/>
  <c r="F240" i="11"/>
  <c r="B174" i="11"/>
  <c r="M28" i="11"/>
  <c r="E31" i="11"/>
  <c r="E30" i="11"/>
  <c r="E22" i="11"/>
  <c r="E21" i="11"/>
  <c r="F18" i="11"/>
  <c r="E19" i="11"/>
  <c r="E18" i="11"/>
  <c r="Y29" i="68"/>
  <c r="Y8" i="68"/>
  <c r="AD264" i="64"/>
  <c r="H266" i="64"/>
  <c r="I266" i="64"/>
  <c r="J266" i="64"/>
  <c r="K266" i="64"/>
  <c r="L266" i="64"/>
  <c r="M266" i="64"/>
  <c r="N266" i="64"/>
  <c r="O266" i="64"/>
  <c r="P266" i="64"/>
  <c r="Q266" i="64"/>
  <c r="R266" i="64"/>
  <c r="S266" i="64"/>
  <c r="T266" i="64"/>
  <c r="U266" i="64"/>
  <c r="V266" i="64"/>
  <c r="W266" i="64"/>
  <c r="X266" i="64"/>
  <c r="Y266" i="64"/>
  <c r="Z266" i="64"/>
  <c r="AA266" i="64"/>
  <c r="AB266" i="64"/>
  <c r="J251" i="64"/>
  <c r="J213" i="64"/>
  <c r="AD273" i="64"/>
  <c r="B391" i="3"/>
  <c r="B162" i="3"/>
  <c r="B161" i="3"/>
  <c r="B94" i="3"/>
  <c r="B93" i="3"/>
  <c r="B92" i="3"/>
  <c r="B72" i="3"/>
  <c r="B15" i="3"/>
  <c r="B36" i="3" l="1"/>
  <c r="B14" i="3"/>
  <c r="B16" i="3"/>
  <c r="B355" i="3"/>
  <c r="B354" i="3"/>
  <c r="C16" i="49"/>
  <c r="C60" i="30"/>
  <c r="C59" i="30"/>
  <c r="C33" i="30"/>
  <c r="C32" i="30"/>
  <c r="C31" i="30"/>
  <c r="C61" i="30"/>
  <c r="C148" i="27"/>
  <c r="C147" i="27"/>
  <c r="C128" i="27"/>
  <c r="C24" i="27"/>
  <c r="D24" i="27"/>
  <c r="C42" i="26"/>
  <c r="C52" i="26"/>
  <c r="C111" i="25"/>
  <c r="P41" i="25"/>
  <c r="C52" i="25"/>
  <c r="B127" i="24"/>
  <c r="B125" i="24"/>
  <c r="D35" i="24"/>
  <c r="C57" i="23"/>
  <c r="K36" i="23"/>
  <c r="C36" i="23"/>
  <c r="C27" i="23"/>
  <c r="C26" i="23"/>
  <c r="C24" i="23"/>
  <c r="J68" i="22"/>
  <c r="D68" i="22"/>
  <c r="E68" i="22"/>
  <c r="F68" i="22"/>
  <c r="G68" i="22"/>
  <c r="H68" i="22"/>
  <c r="I68" i="22"/>
  <c r="C68" i="22"/>
  <c r="D67" i="22"/>
  <c r="E67" i="22"/>
  <c r="F67" i="22"/>
  <c r="G67" i="22"/>
  <c r="H67" i="22"/>
  <c r="I67" i="22"/>
  <c r="J67" i="22"/>
  <c r="C67" i="22"/>
  <c r="C73" i="20"/>
  <c r="C72" i="20"/>
  <c r="C32" i="20"/>
  <c r="D20" i="20"/>
  <c r="C20" i="20"/>
  <c r="C45" i="48"/>
  <c r="F28" i="48"/>
  <c r="C15" i="48"/>
  <c r="B160" i="3"/>
  <c r="B137" i="3"/>
  <c r="B115" i="3"/>
  <c r="B139" i="3"/>
  <c r="B138" i="3"/>
  <c r="B21" i="3"/>
  <c r="N12" i="3"/>
  <c r="O180" i="11"/>
  <c r="G253" i="11"/>
  <c r="G254" i="11" s="1"/>
  <c r="G252" i="11"/>
  <c r="I229" i="11"/>
  <c r="D109" i="11"/>
  <c r="F47" i="11"/>
  <c r="E47" i="11"/>
  <c r="N28" i="11"/>
  <c r="E38" i="11"/>
  <c r="D43" i="11"/>
  <c r="C43" i="11"/>
  <c r="B43" i="11"/>
  <c r="B28" i="11"/>
  <c r="M292" i="9"/>
  <c r="A544" i="3"/>
  <c r="A541" i="3" l="1"/>
  <c r="M79" i="22" l="1"/>
  <c r="M81" i="22" s="1"/>
  <c r="K79" i="22"/>
  <c r="K81" i="22" s="1"/>
  <c r="N93" i="22"/>
  <c r="K93" i="22"/>
  <c r="N53" i="22"/>
  <c r="L53" i="22"/>
  <c r="K53" i="22"/>
  <c r="N26" i="22"/>
  <c r="M26" i="22"/>
  <c r="L26" i="22"/>
  <c r="N23" i="22"/>
  <c r="N21" i="22"/>
  <c r="N20" i="22"/>
  <c r="N19" i="22"/>
  <c r="K21" i="22"/>
  <c r="K20" i="22"/>
  <c r="K23" i="22"/>
  <c r="K19" i="22"/>
  <c r="C26" i="22"/>
  <c r="C15" i="22"/>
  <c r="C53" i="22"/>
  <c r="C84" i="22"/>
  <c r="N72" i="22"/>
  <c r="N74" i="22"/>
  <c r="L79" i="22"/>
  <c r="L81" i="22"/>
  <c r="C81" i="22"/>
  <c r="L83" i="22"/>
  <c r="C83" i="22"/>
  <c r="I84" i="22"/>
  <c r="J84" i="22"/>
  <c r="L84" i="22"/>
  <c r="K83" i="22" l="1"/>
  <c r="K84" i="22" s="1"/>
  <c r="K26" i="22"/>
  <c r="N79" i="22"/>
  <c r="N81" i="22" l="1"/>
  <c r="N83" i="22"/>
  <c r="N84" i="22" s="1"/>
  <c r="E83" i="22" l="1"/>
  <c r="D83" i="22"/>
  <c r="N40" i="22"/>
  <c r="M60" i="22" l="1"/>
  <c r="G31" i="22"/>
  <c r="E31" i="22"/>
  <c r="D26" i="22"/>
  <c r="C28" i="22"/>
  <c r="D59" i="22"/>
  <c r="C59" i="22"/>
  <c r="C60" i="22" s="1"/>
  <c r="K40" i="22"/>
  <c r="D84" i="22"/>
  <c r="E84" i="22"/>
  <c r="F84" i="22"/>
  <c r="G84" i="22"/>
  <c r="H84" i="22"/>
  <c r="N80" i="22"/>
  <c r="J81" i="22"/>
  <c r="D81" i="22"/>
  <c r="E81" i="22"/>
  <c r="F81" i="22"/>
  <c r="G81" i="22"/>
  <c r="H81" i="22"/>
  <c r="I81" i="22"/>
  <c r="C79" i="22"/>
  <c r="H83" i="22"/>
  <c r="G83" i="22"/>
  <c r="F83" i="22"/>
  <c r="K80" i="22"/>
  <c r="J79" i="22"/>
  <c r="J83" i="22" s="1"/>
  <c r="I79" i="22"/>
  <c r="I83" i="22" s="1"/>
  <c r="H79" i="22"/>
  <c r="G79" i="22"/>
  <c r="F79" i="22"/>
  <c r="E79" i="22"/>
  <c r="D79" i="22"/>
  <c r="K78" i="22"/>
  <c r="N78" i="22" s="1"/>
  <c r="N77" i="22"/>
  <c r="K77" i="22"/>
  <c r="K76" i="22"/>
  <c r="N76" i="22" s="1"/>
  <c r="K74" i="22"/>
  <c r="K73" i="22"/>
  <c r="N73" i="22" s="1"/>
  <c r="K72" i="22"/>
  <c r="H14" i="22"/>
  <c r="I14" i="22"/>
  <c r="J14" i="22"/>
  <c r="H15" i="22"/>
  <c r="I15" i="22"/>
  <c r="J15" i="22"/>
  <c r="K24" i="22"/>
  <c r="K25" i="22"/>
  <c r="H26" i="22"/>
  <c r="H30" i="22" s="1"/>
  <c r="H31" i="22" s="1"/>
  <c r="I26" i="22"/>
  <c r="I30" i="22" s="1"/>
  <c r="I31" i="22" s="1"/>
  <c r="J26" i="22"/>
  <c r="J30" i="22" s="1"/>
  <c r="J31" i="22" s="1"/>
  <c r="K27" i="22"/>
  <c r="I28" i="22"/>
  <c r="L28" i="22"/>
  <c r="M28" i="22"/>
  <c r="L30" i="22"/>
  <c r="L31" i="22" s="1"/>
  <c r="M30" i="22"/>
  <c r="M31" i="22" s="1"/>
  <c r="K50" i="22"/>
  <c r="K51" i="22"/>
  <c r="K52" i="22"/>
  <c r="H53" i="22"/>
  <c r="I53" i="22"/>
  <c r="I59" i="22" s="1"/>
  <c r="I60" i="22" s="1"/>
  <c r="J53" i="22"/>
  <c r="M53" i="22"/>
  <c r="M59" i="22" s="1"/>
  <c r="K54" i="22"/>
  <c r="K55" i="22"/>
  <c r="H56" i="22"/>
  <c r="I56" i="22"/>
  <c r="J56" i="22"/>
  <c r="L56" i="22"/>
  <c r="M56" i="22"/>
  <c r="H59" i="22"/>
  <c r="H60" i="22" s="1"/>
  <c r="J59" i="22"/>
  <c r="L59" i="22"/>
  <c r="J60" i="22"/>
  <c r="L60" i="22"/>
  <c r="M49" i="2"/>
  <c r="I49" i="2"/>
  <c r="K49" i="2"/>
  <c r="I45" i="2"/>
  <c r="B49" i="2"/>
  <c r="B45" i="2"/>
  <c r="I24" i="2"/>
  <c r="I28" i="2"/>
  <c r="F28" i="2"/>
  <c r="D28" i="2"/>
  <c r="K28" i="2"/>
  <c r="M28" i="2" s="1"/>
  <c r="H23" i="2"/>
  <c r="H22" i="2"/>
  <c r="K28" i="22" l="1"/>
  <c r="M83" i="22"/>
  <c r="M84" i="22" s="1"/>
  <c r="K59" i="22"/>
  <c r="K60" i="22" s="1"/>
  <c r="K56" i="22"/>
  <c r="J28" i="22"/>
  <c r="K30" i="22"/>
  <c r="K31" i="22" s="1"/>
  <c r="H28" i="22"/>
  <c r="J47" i="16" l="1"/>
  <c r="J41" i="16"/>
  <c r="G62" i="16"/>
  <c r="G61" i="16"/>
  <c r="H281" i="43"/>
  <c r="H282" i="43" s="1"/>
  <c r="H284" i="43" s="1"/>
  <c r="H226" i="43"/>
  <c r="J93" i="43"/>
  <c r="J92" i="43"/>
  <c r="H43" i="43"/>
  <c r="H35" i="43"/>
  <c r="G119" i="15"/>
  <c r="G121" i="15"/>
  <c r="G76" i="15"/>
  <c r="G303" i="35"/>
  <c r="G302" i="35"/>
  <c r="G291" i="35"/>
  <c r="H35" i="35"/>
  <c r="G35" i="35"/>
  <c r="G165" i="15"/>
  <c r="G178" i="15"/>
  <c r="G176" i="15"/>
  <c r="G171" i="15"/>
  <c r="G37" i="15"/>
  <c r="G105" i="15"/>
  <c r="G92" i="15"/>
  <c r="G60" i="15"/>
  <c r="Q163" i="15"/>
  <c r="Q162" i="15"/>
  <c r="Q161" i="15"/>
  <c r="E279" i="35"/>
  <c r="J118" i="43"/>
  <c r="I118" i="43"/>
  <c r="I122" i="43" s="1"/>
  <c r="H122" i="43"/>
  <c r="J102" i="43"/>
  <c r="J33" i="43"/>
  <c r="E27" i="11"/>
  <c r="E26" i="11"/>
  <c r="E25" i="11"/>
  <c r="E17" i="11"/>
  <c r="E16" i="11"/>
  <c r="D379" i="9"/>
  <c r="D378" i="9"/>
  <c r="M350" i="9"/>
  <c r="D76" i="9"/>
  <c r="M79" i="9"/>
  <c r="J79" i="9"/>
  <c r="G79" i="9"/>
  <c r="M77" i="9"/>
  <c r="J77" i="9"/>
  <c r="G77" i="9"/>
  <c r="D77" i="9"/>
  <c r="D79" i="9" s="1"/>
  <c r="M76" i="9"/>
  <c r="J76" i="9"/>
  <c r="G76" i="9"/>
  <c r="M66" i="9"/>
  <c r="J66" i="9"/>
  <c r="G66" i="9"/>
  <c r="D66" i="9"/>
  <c r="M50" i="9"/>
  <c r="J50" i="9"/>
  <c r="G50" i="9"/>
  <c r="D50" i="9"/>
  <c r="M31" i="9"/>
  <c r="M30" i="9"/>
  <c r="M29" i="9"/>
  <c r="M28" i="9"/>
  <c r="M18" i="9"/>
  <c r="M24" i="9"/>
  <c r="J25" i="9"/>
  <c r="G25" i="9"/>
  <c r="D25" i="9"/>
  <c r="J249" i="43"/>
  <c r="J264" i="43"/>
  <c r="I263" i="35" s="1"/>
  <c r="J263" i="35" s="1"/>
  <c r="O43" i="15"/>
  <c r="O42" i="15"/>
  <c r="Q42" i="15" s="1"/>
  <c r="H91" i="35" s="1"/>
  <c r="S185" i="35"/>
  <c r="S184" i="35"/>
  <c r="S183" i="35"/>
  <c r="S182" i="35"/>
  <c r="S177" i="35"/>
  <c r="S176" i="35"/>
  <c r="S175" i="35"/>
  <c r="S168" i="35"/>
  <c r="S167" i="35"/>
  <c r="S166" i="35"/>
  <c r="S161" i="35"/>
  <c r="S160" i="35"/>
  <c r="S159" i="35"/>
  <c r="N67" i="35"/>
  <c r="E28" i="11" l="1"/>
  <c r="D49" i="2"/>
  <c r="F49" i="2" s="1"/>
  <c r="B24" i="2"/>
  <c r="B28" i="2" s="1"/>
  <c r="H44" i="2"/>
  <c r="H43" i="2"/>
  <c r="V213" i="64" l="1"/>
  <c r="V255" i="64"/>
  <c r="V194" i="64"/>
  <c r="V208" i="64"/>
  <c r="V30" i="64"/>
  <c r="V3" i="64"/>
  <c r="S13" i="66"/>
  <c r="Q14" i="66"/>
  <c r="Q13" i="66"/>
  <c r="R60" i="66"/>
  <c r="R59" i="66"/>
  <c r="D61" i="66"/>
  <c r="D60" i="66"/>
  <c r="D59" i="66"/>
  <c r="D48" i="66"/>
  <c r="D33" i="66"/>
  <c r="G33" i="66"/>
  <c r="AA13" i="66"/>
  <c r="AD13" i="66" s="1"/>
  <c r="Y31" i="68"/>
  <c r="Y28" i="68"/>
  <c r="Y16" i="68"/>
  <c r="Y13" i="68"/>
  <c r="Y12" i="68"/>
  <c r="Y5" i="68"/>
  <c r="Y3" i="68"/>
  <c r="Y2" i="68"/>
  <c r="Q28" i="68"/>
  <c r="Q3" i="68"/>
  <c r="Q37" i="68" s="1"/>
  <c r="Q12" i="68"/>
  <c r="Q7" i="68"/>
  <c r="D62" i="66" l="1"/>
  <c r="J89" i="66"/>
  <c r="S53" i="66"/>
  <c r="S43" i="66"/>
  <c r="S39" i="66"/>
  <c r="S37" i="66"/>
  <c r="S36" i="66"/>
  <c r="S26" i="66"/>
  <c r="S19" i="66"/>
  <c r="S12" i="66"/>
  <c r="S3" i="66"/>
  <c r="H49" i="68" l="1"/>
  <c r="L29" i="68"/>
  <c r="L5" i="68" l="1"/>
  <c r="L39" i="68" s="1"/>
  <c r="N58" i="66"/>
  <c r="N32" i="66"/>
  <c r="N33" i="66"/>
  <c r="Q89" i="64"/>
  <c r="Q213" i="64"/>
  <c r="Q150" i="64"/>
  <c r="Q134" i="64"/>
  <c r="V235" i="64" l="1"/>
  <c r="V99" i="64"/>
  <c r="V197" i="64"/>
  <c r="V216" i="64"/>
  <c r="Q216" i="64"/>
  <c r="Q254" i="64" s="1"/>
  <c r="H254" i="64"/>
  <c r="I254" i="64"/>
  <c r="K254" i="64"/>
  <c r="L254" i="64"/>
  <c r="M254" i="64"/>
  <c r="N254" i="64"/>
  <c r="N256" i="64" s="1"/>
  <c r="O254" i="64"/>
  <c r="O256" i="64" s="1"/>
  <c r="P254" i="64"/>
  <c r="R254" i="64"/>
  <c r="S254" i="64"/>
  <c r="T254" i="64"/>
  <c r="U254" i="64"/>
  <c r="W254" i="64"/>
  <c r="W256" i="64" s="1"/>
  <c r="X254" i="64"/>
  <c r="Y254" i="64"/>
  <c r="Z254" i="64"/>
  <c r="AA254" i="64"/>
  <c r="AB254" i="64"/>
  <c r="H256" i="64"/>
  <c r="I256" i="64"/>
  <c r="K256" i="64"/>
  <c r="L256" i="64"/>
  <c r="M256" i="64"/>
  <c r="P256" i="64"/>
  <c r="R256" i="64"/>
  <c r="S256" i="64"/>
  <c r="T256" i="64"/>
  <c r="U256" i="64"/>
  <c r="X256" i="64"/>
  <c r="Y256" i="64"/>
  <c r="Z256" i="64"/>
  <c r="AA256" i="64"/>
  <c r="AB256" i="64"/>
  <c r="V148" i="64"/>
  <c r="V89" i="64"/>
  <c r="V6" i="64"/>
  <c r="V170" i="64"/>
  <c r="V209" i="64" l="1"/>
  <c r="V160" i="64" l="1"/>
  <c r="V132" i="64"/>
  <c r="V100" i="64"/>
  <c r="V75" i="64"/>
  <c r="V14" i="64"/>
  <c r="V165" i="64"/>
  <c r="V135" i="64"/>
  <c r="V136" i="64"/>
  <c r="V30" i="65"/>
  <c r="V65" i="64"/>
  <c r="V2" i="64"/>
  <c r="G286" i="64"/>
  <c r="G287" i="64"/>
  <c r="AD271" i="64"/>
  <c r="G292" i="64"/>
  <c r="G273" i="64"/>
  <c r="X209" i="64"/>
  <c r="G254" i="64" l="1"/>
  <c r="G253" i="64"/>
  <c r="H91" i="64"/>
  <c r="I91" i="64"/>
  <c r="J91" i="64"/>
  <c r="K91" i="64"/>
  <c r="L91" i="64"/>
  <c r="M91" i="64"/>
  <c r="N91" i="64"/>
  <c r="O91" i="64"/>
  <c r="P91" i="64"/>
  <c r="Q91" i="64"/>
  <c r="R91" i="64"/>
  <c r="S91" i="64"/>
  <c r="T91" i="64"/>
  <c r="U91" i="64"/>
  <c r="W91" i="64"/>
  <c r="X91" i="64"/>
  <c r="Y91" i="64"/>
  <c r="Z91" i="64"/>
  <c r="AA91" i="64"/>
  <c r="AB91" i="64"/>
  <c r="G91" i="64"/>
  <c r="G237" i="65" l="1"/>
  <c r="H83" i="65"/>
  <c r="I83" i="65"/>
  <c r="J83" i="65"/>
  <c r="K83" i="65"/>
  <c r="L83" i="65"/>
  <c r="M83" i="65"/>
  <c r="N83" i="65"/>
  <c r="O83" i="65"/>
  <c r="P83" i="65"/>
  <c r="Q83" i="65"/>
  <c r="R83" i="65"/>
  <c r="S83" i="65"/>
  <c r="T83" i="65"/>
  <c r="U83" i="65"/>
  <c r="V83" i="65"/>
  <c r="W83" i="65"/>
  <c r="X83" i="65"/>
  <c r="Y83" i="65"/>
  <c r="Z83" i="65"/>
  <c r="AA83" i="65"/>
  <c r="AB83" i="65"/>
  <c r="G83" i="65"/>
  <c r="W173" i="65"/>
  <c r="Q170" i="64" l="1"/>
  <c r="Q209" i="64"/>
  <c r="Q184" i="65"/>
  <c r="AD232" i="64" l="1"/>
  <c r="AD221" i="64"/>
  <c r="AA54" i="64"/>
  <c r="AA89" i="64"/>
  <c r="L36" i="68" l="1"/>
  <c r="V5" i="68"/>
  <c r="V39" i="68"/>
  <c r="S28" i="68"/>
  <c r="S29" i="68" s="1"/>
  <c r="S50" i="68" s="1"/>
  <c r="S19" i="68"/>
  <c r="S46" i="68" s="1"/>
  <c r="L20" i="68"/>
  <c r="L47" i="68" s="1"/>
  <c r="K5" i="68"/>
  <c r="K39" i="68" s="1"/>
  <c r="J47" i="68"/>
  <c r="J19" i="68"/>
  <c r="J46" i="68"/>
  <c r="H28" i="68"/>
  <c r="C29" i="68"/>
  <c r="D29" i="68"/>
  <c r="D50" i="68" s="1"/>
  <c r="E29" i="68"/>
  <c r="F29" i="68"/>
  <c r="G29" i="68"/>
  <c r="H29" i="68"/>
  <c r="I29" i="68"/>
  <c r="J29" i="68"/>
  <c r="K29" i="68"/>
  <c r="M29" i="68"/>
  <c r="N29" i="68"/>
  <c r="O29" i="68"/>
  <c r="P29" i="68"/>
  <c r="R29" i="68"/>
  <c r="T29" i="68"/>
  <c r="U29" i="68"/>
  <c r="V29" i="68"/>
  <c r="W29" i="68"/>
  <c r="B29" i="68"/>
  <c r="B8" i="68"/>
  <c r="C13" i="68"/>
  <c r="B13" i="68"/>
  <c r="D17" i="68"/>
  <c r="D44" i="68"/>
  <c r="B45" i="68"/>
  <c r="C39" i="68"/>
  <c r="D39" i="68"/>
  <c r="E39" i="68"/>
  <c r="F39" i="68"/>
  <c r="G39" i="68"/>
  <c r="H39" i="68"/>
  <c r="I39" i="68"/>
  <c r="J39" i="68"/>
  <c r="M39" i="68"/>
  <c r="N39" i="68"/>
  <c r="O39" i="68"/>
  <c r="P39" i="68"/>
  <c r="Q39" i="68"/>
  <c r="R39" i="68"/>
  <c r="S39" i="68"/>
  <c r="T39" i="68"/>
  <c r="U39" i="68"/>
  <c r="W39" i="68"/>
  <c r="B39" i="68"/>
  <c r="C38" i="68"/>
  <c r="D38" i="68"/>
  <c r="E38" i="68"/>
  <c r="F38" i="68"/>
  <c r="G38" i="68"/>
  <c r="H38" i="68"/>
  <c r="I38" i="68"/>
  <c r="J38" i="68"/>
  <c r="K38" i="68"/>
  <c r="L38" i="68"/>
  <c r="M38" i="68"/>
  <c r="N38" i="68"/>
  <c r="O38" i="68"/>
  <c r="P38" i="68"/>
  <c r="Q38" i="68"/>
  <c r="R38" i="68"/>
  <c r="S38" i="68"/>
  <c r="T38" i="68"/>
  <c r="U38" i="68"/>
  <c r="V38" i="68"/>
  <c r="W38" i="68"/>
  <c r="B38" i="68"/>
  <c r="Y4" i="68"/>
  <c r="X58" i="66" l="1"/>
  <c r="X37" i="66"/>
  <c r="X36" i="66"/>
  <c r="X32" i="66"/>
  <c r="X4" i="66"/>
  <c r="N15" i="66"/>
  <c r="N14" i="66"/>
  <c r="N13" i="66"/>
  <c r="N12" i="66"/>
  <c r="N59" i="66" l="1"/>
  <c r="N60" i="66" s="1"/>
  <c r="N61" i="66" s="1"/>
  <c r="N104" i="66" s="1"/>
  <c r="D9" i="66"/>
  <c r="AA57" i="66" l="1"/>
  <c r="AD57" i="66" s="1"/>
  <c r="AA31" i="66"/>
  <c r="AD31" i="66" s="1"/>
  <c r="AB194" i="64"/>
  <c r="AB235" i="64"/>
  <c r="AB52" i="64"/>
  <c r="AB55" i="64"/>
  <c r="AB170" i="64"/>
  <c r="AB197" i="64"/>
  <c r="AB62" i="64"/>
  <c r="AB14" i="64"/>
  <c r="AB213" i="64"/>
  <c r="AB93" i="64"/>
  <c r="AA52" i="64"/>
  <c r="AA194" i="64"/>
  <c r="AA170" i="64"/>
  <c r="AA238" i="64"/>
  <c r="AA237" i="64"/>
  <c r="AA210" i="64"/>
  <c r="AA150" i="64"/>
  <c r="AA134" i="64"/>
  <c r="AA99" i="64"/>
  <c r="AA30" i="64"/>
  <c r="AA3" i="64"/>
  <c r="AA197" i="64"/>
  <c r="AA214" i="64"/>
  <c r="AA208" i="64"/>
  <c r="AA255" i="64"/>
  <c r="AA93" i="64"/>
  <c r="AA75" i="64"/>
  <c r="AA50" i="64"/>
  <c r="AA209" i="64"/>
  <c r="AA213" i="64"/>
  <c r="Z2" i="64"/>
  <c r="Z21" i="64"/>
  <c r="Z192" i="64"/>
  <c r="Z197" i="64"/>
  <c r="Y99" i="64"/>
  <c r="Y22" i="64"/>
  <c r="W210" i="65"/>
  <c r="W224" i="65"/>
  <c r="X160" i="64"/>
  <c r="X157" i="64"/>
  <c r="W208" i="64"/>
  <c r="W30" i="65"/>
  <c r="W30" i="64"/>
  <c r="W65" i="64"/>
  <c r="X213" i="64"/>
  <c r="W213" i="64"/>
  <c r="W20" i="64"/>
  <c r="W22" i="64"/>
  <c r="U99" i="64" l="1"/>
  <c r="U2" i="64"/>
  <c r="T99" i="64" l="1"/>
  <c r="T209" i="64"/>
  <c r="T213" i="64"/>
  <c r="T2" i="64"/>
  <c r="T192" i="64"/>
  <c r="T197" i="64"/>
  <c r="S213" i="64" l="1"/>
  <c r="S209" i="64"/>
  <c r="S170" i="64"/>
  <c r="S197" i="64"/>
  <c r="S192" i="64"/>
  <c r="R22" i="64" l="1"/>
  <c r="R20" i="64"/>
  <c r="Q62" i="64" l="1"/>
  <c r="Q229" i="64"/>
  <c r="Q183" i="65"/>
  <c r="Q197" i="64"/>
  <c r="Q158" i="64"/>
  <c r="Q14" i="64"/>
  <c r="Q99" i="64"/>
  <c r="Q93" i="64"/>
  <c r="Q165" i="64"/>
  <c r="Q147" i="64"/>
  <c r="P101" i="64" l="1"/>
  <c r="P100" i="64"/>
  <c r="P99" i="64"/>
  <c r="P197" i="64"/>
  <c r="P21" i="64"/>
  <c r="P221" i="64"/>
  <c r="P213" i="64"/>
  <c r="P255" i="64"/>
  <c r="P30" i="64"/>
  <c r="P237" i="64"/>
  <c r="O154" i="65" l="1"/>
  <c r="O172" i="65"/>
  <c r="O228" i="65"/>
  <c r="O66" i="65"/>
  <c r="O42" i="65"/>
  <c r="O213" i="64"/>
  <c r="O197" i="64"/>
  <c r="O158" i="64"/>
  <c r="O157" i="64"/>
  <c r="O93" i="64"/>
  <c r="O209" i="64"/>
  <c r="N154" i="65" l="1"/>
  <c r="N168" i="65"/>
  <c r="N172" i="65"/>
  <c r="N213" i="64"/>
  <c r="N209" i="64"/>
  <c r="M113" i="64" l="1"/>
  <c r="M143" i="64"/>
  <c r="M184" i="65"/>
  <c r="M194" i="64"/>
  <c r="M197" i="64"/>
  <c r="M32" i="64"/>
  <c r="M30" i="64"/>
  <c r="M224" i="65"/>
  <c r="L209" i="64" l="1"/>
  <c r="L213" i="64"/>
  <c r="J211" i="65" l="1"/>
  <c r="J225" i="65"/>
  <c r="I213" i="64" l="1"/>
  <c r="I197" i="64"/>
  <c r="I155" i="64"/>
  <c r="I33" i="65"/>
  <c r="I133" i="65"/>
  <c r="I122" i="65"/>
  <c r="E59" i="66"/>
  <c r="F59" i="66"/>
  <c r="G59" i="66"/>
  <c r="H59" i="66"/>
  <c r="I59" i="66"/>
  <c r="J59" i="66"/>
  <c r="K59" i="66"/>
  <c r="L59" i="66"/>
  <c r="M59" i="66"/>
  <c r="O59" i="66"/>
  <c r="P59" i="66"/>
  <c r="Q59" i="66"/>
  <c r="S59" i="66"/>
  <c r="T59" i="66"/>
  <c r="U59" i="66"/>
  <c r="V59" i="66"/>
  <c r="W59" i="66"/>
  <c r="X59" i="66"/>
  <c r="Y59" i="66"/>
  <c r="E48" i="66"/>
  <c r="F48" i="66"/>
  <c r="G48" i="66"/>
  <c r="H48" i="66"/>
  <c r="I48" i="66"/>
  <c r="J48" i="66"/>
  <c r="K48" i="66"/>
  <c r="L48" i="66"/>
  <c r="M48" i="66"/>
  <c r="N48" i="66"/>
  <c r="O48" i="66"/>
  <c r="P48" i="66"/>
  <c r="Q48" i="66"/>
  <c r="R48" i="66"/>
  <c r="S48" i="66"/>
  <c r="T48" i="66"/>
  <c r="U48" i="66"/>
  <c r="V48" i="66"/>
  <c r="W48" i="66"/>
  <c r="X48" i="66"/>
  <c r="Y48" i="66"/>
  <c r="E33" i="66"/>
  <c r="F33" i="66"/>
  <c r="H33" i="66"/>
  <c r="I33" i="66"/>
  <c r="J33" i="66"/>
  <c r="K33" i="66"/>
  <c r="L33" i="66"/>
  <c r="M33" i="66"/>
  <c r="O33" i="66"/>
  <c r="P33" i="66"/>
  <c r="Q33" i="66"/>
  <c r="R33" i="66"/>
  <c r="S33" i="66"/>
  <c r="T33" i="66"/>
  <c r="U33" i="66"/>
  <c r="V33" i="66"/>
  <c r="W33" i="66"/>
  <c r="X33" i="66"/>
  <c r="Y33" i="66"/>
  <c r="E9" i="66"/>
  <c r="E89" i="66" s="1"/>
  <c r="F9" i="66"/>
  <c r="F89" i="66" s="1"/>
  <c r="G9" i="66"/>
  <c r="G89" i="66" s="1"/>
  <c r="H9" i="66"/>
  <c r="H89" i="66" s="1"/>
  <c r="I9" i="66"/>
  <c r="I89" i="66" s="1"/>
  <c r="J9" i="66"/>
  <c r="K9" i="66"/>
  <c r="K89" i="66" s="1"/>
  <c r="L9" i="66"/>
  <c r="M9" i="66"/>
  <c r="M89" i="66" s="1"/>
  <c r="N9" i="66"/>
  <c r="O9" i="66"/>
  <c r="O89" i="66" s="1"/>
  <c r="P9" i="66"/>
  <c r="Q9" i="66"/>
  <c r="R9" i="66"/>
  <c r="R89" i="66" s="1"/>
  <c r="S9" i="66"/>
  <c r="S89" i="66" s="1"/>
  <c r="T9" i="66"/>
  <c r="T89" i="66" s="1"/>
  <c r="U9" i="66"/>
  <c r="U89" i="66" s="1"/>
  <c r="V9" i="66"/>
  <c r="V89" i="66" s="1"/>
  <c r="W9" i="66"/>
  <c r="W89" i="66" s="1"/>
  <c r="X9" i="66"/>
  <c r="X89" i="66" s="1"/>
  <c r="Y9" i="66"/>
  <c r="Y89" i="66" s="1"/>
  <c r="C37" i="68"/>
  <c r="D37" i="68"/>
  <c r="E37" i="68"/>
  <c r="F37" i="68"/>
  <c r="G37" i="68"/>
  <c r="H37" i="68"/>
  <c r="I37" i="68"/>
  <c r="J37" i="68"/>
  <c r="K37" i="68"/>
  <c r="L37" i="68"/>
  <c r="M37" i="68"/>
  <c r="N37" i="68"/>
  <c r="O37" i="68"/>
  <c r="P37" i="68"/>
  <c r="R37" i="68"/>
  <c r="S37" i="68"/>
  <c r="T37" i="68"/>
  <c r="U37" i="68"/>
  <c r="V37" i="68"/>
  <c r="W37" i="68"/>
  <c r="O40" i="68"/>
  <c r="W40" i="68"/>
  <c r="C42" i="68"/>
  <c r="D42" i="68"/>
  <c r="E42" i="68"/>
  <c r="F42" i="68"/>
  <c r="G42" i="68"/>
  <c r="H42" i="68"/>
  <c r="I42" i="68"/>
  <c r="J42" i="68"/>
  <c r="K42" i="68"/>
  <c r="L42" i="68"/>
  <c r="M42" i="68"/>
  <c r="N42" i="68"/>
  <c r="O42" i="68"/>
  <c r="P42" i="68"/>
  <c r="Q42" i="68"/>
  <c r="R42" i="68"/>
  <c r="S42" i="68"/>
  <c r="T42" i="68"/>
  <c r="U42" i="68"/>
  <c r="V42" i="68"/>
  <c r="W42" i="68"/>
  <c r="C43" i="68"/>
  <c r="D43" i="68"/>
  <c r="E43" i="68"/>
  <c r="F43" i="68"/>
  <c r="G43" i="68"/>
  <c r="H43" i="68"/>
  <c r="I43" i="68"/>
  <c r="J43" i="68"/>
  <c r="K43" i="68"/>
  <c r="L43" i="68"/>
  <c r="M43" i="68"/>
  <c r="N43" i="68"/>
  <c r="O43" i="68"/>
  <c r="P43" i="68"/>
  <c r="Q43" i="68"/>
  <c r="R43" i="68"/>
  <c r="S43" i="68"/>
  <c r="T43" i="68"/>
  <c r="U43" i="68"/>
  <c r="V43" i="68"/>
  <c r="W43" i="68"/>
  <c r="C44" i="68"/>
  <c r="E44" i="68"/>
  <c r="F44" i="68"/>
  <c r="G44" i="68"/>
  <c r="H44" i="68"/>
  <c r="I44" i="68"/>
  <c r="J44" i="68"/>
  <c r="K44" i="68"/>
  <c r="L44" i="68"/>
  <c r="M44" i="68"/>
  <c r="N44" i="68"/>
  <c r="O44" i="68"/>
  <c r="P44" i="68"/>
  <c r="Q44" i="68"/>
  <c r="R44" i="68"/>
  <c r="S44" i="68"/>
  <c r="T44" i="68"/>
  <c r="U44" i="68"/>
  <c r="V44" i="68"/>
  <c r="W44" i="68"/>
  <c r="C45" i="68"/>
  <c r="D45" i="68"/>
  <c r="E45" i="68"/>
  <c r="F45" i="68"/>
  <c r="G45" i="68"/>
  <c r="H45" i="68"/>
  <c r="I45" i="68"/>
  <c r="J45" i="68"/>
  <c r="K45" i="68"/>
  <c r="L45" i="68"/>
  <c r="M45" i="68"/>
  <c r="N45" i="68"/>
  <c r="O45" i="68"/>
  <c r="P45" i="68"/>
  <c r="Q45" i="68"/>
  <c r="R45" i="68"/>
  <c r="S45" i="68"/>
  <c r="T45" i="68"/>
  <c r="U45" i="68"/>
  <c r="V45" i="68"/>
  <c r="W45" i="68"/>
  <c r="C46" i="68"/>
  <c r="D46" i="68"/>
  <c r="E46" i="68"/>
  <c r="F46" i="68"/>
  <c r="G46" i="68"/>
  <c r="H46" i="68"/>
  <c r="I46" i="68"/>
  <c r="K46" i="68"/>
  <c r="L46" i="68"/>
  <c r="M46" i="68"/>
  <c r="N46" i="68"/>
  <c r="O46" i="68"/>
  <c r="P46" i="68"/>
  <c r="Q46" i="68"/>
  <c r="R46" i="68"/>
  <c r="T46" i="68"/>
  <c r="U46" i="68"/>
  <c r="V46" i="68"/>
  <c r="W46" i="68"/>
  <c r="C47" i="68"/>
  <c r="D47" i="68"/>
  <c r="E47" i="68"/>
  <c r="F47" i="68"/>
  <c r="G47" i="68"/>
  <c r="H47" i="68"/>
  <c r="I47" i="68"/>
  <c r="K47" i="68"/>
  <c r="M47" i="68"/>
  <c r="N47" i="68"/>
  <c r="O47" i="68"/>
  <c r="P47" i="68"/>
  <c r="Q47" i="68"/>
  <c r="R47" i="68"/>
  <c r="S47" i="68"/>
  <c r="T47" i="68"/>
  <c r="U47" i="68"/>
  <c r="V47" i="68"/>
  <c r="W47" i="68"/>
  <c r="C48" i="68"/>
  <c r="D48" i="68"/>
  <c r="E48" i="68"/>
  <c r="F48" i="68"/>
  <c r="G48" i="68"/>
  <c r="H48" i="68"/>
  <c r="I48" i="68"/>
  <c r="J48" i="68"/>
  <c r="K48" i="68"/>
  <c r="L48" i="68"/>
  <c r="M48" i="68"/>
  <c r="N48" i="68"/>
  <c r="O48" i="68"/>
  <c r="P48" i="68"/>
  <c r="Q48" i="68"/>
  <c r="R48" i="68"/>
  <c r="S48" i="68"/>
  <c r="T48" i="68"/>
  <c r="U48" i="68"/>
  <c r="V48" i="68"/>
  <c r="W48" i="68"/>
  <c r="C49" i="68"/>
  <c r="D49" i="68"/>
  <c r="E49" i="68"/>
  <c r="F49" i="68"/>
  <c r="G49" i="68"/>
  <c r="I49" i="68"/>
  <c r="J49" i="68"/>
  <c r="K49" i="68"/>
  <c r="L49" i="68"/>
  <c r="M49" i="68"/>
  <c r="N49" i="68"/>
  <c r="O49" i="68"/>
  <c r="P49" i="68"/>
  <c r="Q49" i="68"/>
  <c r="R49" i="68"/>
  <c r="S49" i="68"/>
  <c r="T49" i="68"/>
  <c r="U49" i="68"/>
  <c r="V49" i="68"/>
  <c r="W49" i="68"/>
  <c r="C52" i="68"/>
  <c r="D52" i="68"/>
  <c r="E52" i="68"/>
  <c r="F52" i="68"/>
  <c r="G52" i="68"/>
  <c r="H52" i="68"/>
  <c r="I52" i="68"/>
  <c r="J52" i="68"/>
  <c r="K52" i="68"/>
  <c r="L52" i="68"/>
  <c r="M52" i="68"/>
  <c r="N52" i="68"/>
  <c r="O52" i="68"/>
  <c r="P52" i="68"/>
  <c r="Q52" i="68"/>
  <c r="R52" i="68"/>
  <c r="S52" i="68"/>
  <c r="T52" i="68"/>
  <c r="U52" i="68"/>
  <c r="V52" i="68"/>
  <c r="W52" i="68"/>
  <c r="C36" i="68"/>
  <c r="D36" i="68"/>
  <c r="E36" i="68"/>
  <c r="F36" i="68"/>
  <c r="G36" i="68"/>
  <c r="H36" i="68"/>
  <c r="I36" i="68"/>
  <c r="J36" i="68"/>
  <c r="K36" i="68"/>
  <c r="M36" i="68"/>
  <c r="N36" i="68"/>
  <c r="O36" i="68"/>
  <c r="P36" i="68"/>
  <c r="Q36" i="68"/>
  <c r="R36" i="68"/>
  <c r="S36" i="68"/>
  <c r="T36" i="68"/>
  <c r="U36" i="68"/>
  <c r="V36" i="68"/>
  <c r="W36" i="68"/>
  <c r="T50" i="68"/>
  <c r="C41" i="68"/>
  <c r="D13" i="68"/>
  <c r="D41" i="68" s="1"/>
  <c r="E13" i="68"/>
  <c r="E41" i="68" s="1"/>
  <c r="F13" i="68"/>
  <c r="F41" i="68" s="1"/>
  <c r="G13" i="68"/>
  <c r="G50" i="68" s="1"/>
  <c r="H13" i="68"/>
  <c r="H41" i="68" s="1"/>
  <c r="I13" i="68"/>
  <c r="I41" i="68" s="1"/>
  <c r="J13" i="68"/>
  <c r="J41" i="68" s="1"/>
  <c r="K13" i="68"/>
  <c r="K41" i="68" s="1"/>
  <c r="L13" i="68"/>
  <c r="L41" i="68" s="1"/>
  <c r="M13" i="68"/>
  <c r="M41" i="68" s="1"/>
  <c r="N13" i="68"/>
  <c r="N41" i="68" s="1"/>
  <c r="O13" i="68"/>
  <c r="O50" i="68" s="1"/>
  <c r="P13" i="68"/>
  <c r="P41" i="68" s="1"/>
  <c r="Q13" i="68"/>
  <c r="Q41" i="68" s="1"/>
  <c r="R13" i="68"/>
  <c r="R41" i="68" s="1"/>
  <c r="S13" i="68"/>
  <c r="S41" i="68" s="1"/>
  <c r="T13" i="68"/>
  <c r="T41" i="68" s="1"/>
  <c r="U13" i="68"/>
  <c r="U41" i="68" s="1"/>
  <c r="V13" i="68"/>
  <c r="V41" i="68" s="1"/>
  <c r="W13" i="68"/>
  <c r="W50" i="68" s="1"/>
  <c r="C8" i="68"/>
  <c r="C40" i="68" s="1"/>
  <c r="D8" i="68"/>
  <c r="D40" i="68" s="1"/>
  <c r="E8" i="68"/>
  <c r="E50" i="68" s="1"/>
  <c r="F8" i="68"/>
  <c r="F50" i="68" s="1"/>
  <c r="G8" i="68"/>
  <c r="G40" i="68" s="1"/>
  <c r="H8" i="68"/>
  <c r="H40" i="68" s="1"/>
  <c r="I8" i="68"/>
  <c r="I40" i="68" s="1"/>
  <c r="J8" i="68"/>
  <c r="J40" i="68" s="1"/>
  <c r="K8" i="68"/>
  <c r="K40" i="68" s="1"/>
  <c r="L8" i="68"/>
  <c r="L40" i="68" s="1"/>
  <c r="M8" i="68"/>
  <c r="M50" i="68" s="1"/>
  <c r="N8" i="68"/>
  <c r="N50" i="68" s="1"/>
  <c r="O8" i="68"/>
  <c r="P8" i="68"/>
  <c r="P40" i="68" s="1"/>
  <c r="Q8" i="68"/>
  <c r="R8" i="68"/>
  <c r="R40" i="68" s="1"/>
  <c r="S8" i="68"/>
  <c r="S40" i="68" s="1"/>
  <c r="T8" i="68"/>
  <c r="T40" i="68" s="1"/>
  <c r="U8" i="68"/>
  <c r="U50" i="68" s="1"/>
  <c r="V8" i="68"/>
  <c r="W8" i="68"/>
  <c r="Q40" i="68" l="1"/>
  <c r="Q29" i="68"/>
  <c r="G60" i="66"/>
  <c r="W60" i="66"/>
  <c r="O60" i="66"/>
  <c r="I50" i="68"/>
  <c r="K50" i="68"/>
  <c r="C50" i="68"/>
  <c r="V40" i="68"/>
  <c r="N40" i="68"/>
  <c r="F40" i="68"/>
  <c r="U40" i="68"/>
  <c r="M40" i="68"/>
  <c r="E40" i="68"/>
  <c r="R50" i="68"/>
  <c r="W41" i="68"/>
  <c r="O41" i="68"/>
  <c r="G41" i="68"/>
  <c r="P50" i="68"/>
  <c r="F60" i="66"/>
  <c r="F61" i="66" s="1"/>
  <c r="V60" i="66"/>
  <c r="U60" i="66"/>
  <c r="U61" i="66" s="1"/>
  <c r="M60" i="66"/>
  <c r="M61" i="66" s="1"/>
  <c r="E60" i="66"/>
  <c r="E61" i="66" s="1"/>
  <c r="E62" i="66" s="1"/>
  <c r="S60" i="66"/>
  <c r="S61" i="66" s="1"/>
  <c r="S104" i="66" s="1"/>
  <c r="K60" i="66"/>
  <c r="K61" i="66" s="1"/>
  <c r="Y60" i="66"/>
  <c r="Y61" i="66" s="1"/>
  <c r="Y104" i="66" s="1"/>
  <c r="Q60" i="66"/>
  <c r="O61" i="66"/>
  <c r="O104" i="66" s="1"/>
  <c r="I60" i="66"/>
  <c r="I61" i="66" s="1"/>
  <c r="I104" i="66" s="1"/>
  <c r="X60" i="66"/>
  <c r="X61" i="66" s="1"/>
  <c r="X104" i="66" s="1"/>
  <c r="P60" i="66"/>
  <c r="P61" i="66" s="1"/>
  <c r="H60" i="66"/>
  <c r="H61" i="66" s="1"/>
  <c r="W61" i="66"/>
  <c r="W104" i="66" s="1"/>
  <c r="G61" i="66"/>
  <c r="G104" i="66" s="1"/>
  <c r="T60" i="66"/>
  <c r="T61" i="66" s="1"/>
  <c r="T104" i="66" s="1"/>
  <c r="L60" i="66"/>
  <c r="L61" i="66" s="1"/>
  <c r="V61" i="66"/>
  <c r="V104" i="66" s="1"/>
  <c r="R61" i="66"/>
  <c r="R62" i="66" s="1"/>
  <c r="J60" i="66"/>
  <c r="J61" i="66" s="1"/>
  <c r="J62" i="66" s="1"/>
  <c r="N89" i="66"/>
  <c r="Q61" i="66"/>
  <c r="Q104" i="66" s="1"/>
  <c r="L89" i="66"/>
  <c r="Q89" i="66"/>
  <c r="P89" i="66"/>
  <c r="H132" i="65"/>
  <c r="H140" i="65" s="1"/>
  <c r="H121" i="65"/>
  <c r="H127" i="65" s="1"/>
  <c r="H252" i="65"/>
  <c r="I252" i="65"/>
  <c r="J252" i="65"/>
  <c r="K252" i="65"/>
  <c r="L252" i="65"/>
  <c r="M252" i="65"/>
  <c r="N252" i="65"/>
  <c r="O252" i="65"/>
  <c r="P252" i="65"/>
  <c r="Q252" i="65"/>
  <c r="R252" i="65"/>
  <c r="S252" i="65"/>
  <c r="T252" i="65"/>
  <c r="U252" i="65"/>
  <c r="V252" i="65"/>
  <c r="W252" i="65"/>
  <c r="X252" i="65"/>
  <c r="Y252" i="65"/>
  <c r="Z252" i="65"/>
  <c r="AA252" i="65"/>
  <c r="AB252" i="65"/>
  <c r="H251" i="65"/>
  <c r="I251" i="65"/>
  <c r="J251" i="65"/>
  <c r="K251" i="65"/>
  <c r="L251" i="65"/>
  <c r="M251" i="65"/>
  <c r="N251" i="65"/>
  <c r="O251" i="65"/>
  <c r="P251" i="65"/>
  <c r="Q251" i="65"/>
  <c r="R251" i="65"/>
  <c r="S251" i="65"/>
  <c r="T251" i="65"/>
  <c r="U251" i="65"/>
  <c r="V251" i="65"/>
  <c r="W251" i="65"/>
  <c r="X251" i="65"/>
  <c r="Y251" i="65"/>
  <c r="Z251" i="65"/>
  <c r="AA251" i="65"/>
  <c r="AB251" i="65"/>
  <c r="H250" i="65"/>
  <c r="I250" i="65"/>
  <c r="J250" i="65"/>
  <c r="K250" i="65"/>
  <c r="L250" i="65"/>
  <c r="M250" i="65"/>
  <c r="N250" i="65"/>
  <c r="O250" i="65"/>
  <c r="P250" i="65"/>
  <c r="Q250" i="65"/>
  <c r="R250" i="65"/>
  <c r="S250" i="65"/>
  <c r="T250" i="65"/>
  <c r="U250" i="65"/>
  <c r="V250" i="65"/>
  <c r="W250" i="65"/>
  <c r="X250" i="65"/>
  <c r="Y250" i="65"/>
  <c r="Z250" i="65"/>
  <c r="AA250" i="65"/>
  <c r="AB250" i="65"/>
  <c r="H248" i="65"/>
  <c r="I248" i="65"/>
  <c r="J248" i="65"/>
  <c r="K248" i="65"/>
  <c r="L248" i="65"/>
  <c r="M248" i="65"/>
  <c r="N248" i="65"/>
  <c r="O248" i="65"/>
  <c r="P248" i="65"/>
  <c r="Q248" i="65"/>
  <c r="R248" i="65"/>
  <c r="S248" i="65"/>
  <c r="T248" i="65"/>
  <c r="U248" i="65"/>
  <c r="V248" i="65"/>
  <c r="W248" i="65"/>
  <c r="X248" i="65"/>
  <c r="Y248" i="65"/>
  <c r="Z248" i="65"/>
  <c r="AA248" i="65"/>
  <c r="AB248" i="65"/>
  <c r="H247" i="65"/>
  <c r="I247" i="65"/>
  <c r="J247" i="65"/>
  <c r="K247" i="65"/>
  <c r="L247" i="65"/>
  <c r="M247" i="65"/>
  <c r="N247" i="65"/>
  <c r="O247" i="65"/>
  <c r="P247" i="65"/>
  <c r="Q247" i="65"/>
  <c r="R247" i="65"/>
  <c r="S247" i="65"/>
  <c r="T247" i="65"/>
  <c r="U247" i="65"/>
  <c r="V247" i="65"/>
  <c r="W247" i="65"/>
  <c r="X247" i="65"/>
  <c r="Y247" i="65"/>
  <c r="Z247" i="65"/>
  <c r="AA247" i="65"/>
  <c r="AB247" i="65"/>
  <c r="H246" i="65"/>
  <c r="I246" i="65"/>
  <c r="J246" i="65"/>
  <c r="K246" i="65"/>
  <c r="L246" i="65"/>
  <c r="M246" i="65"/>
  <c r="N246" i="65"/>
  <c r="O246" i="65"/>
  <c r="P246" i="65"/>
  <c r="Q246" i="65"/>
  <c r="R246" i="65"/>
  <c r="S246" i="65"/>
  <c r="T246" i="65"/>
  <c r="U246" i="65"/>
  <c r="V246" i="65"/>
  <c r="W246" i="65"/>
  <c r="X246" i="65"/>
  <c r="Y246" i="65"/>
  <c r="Z246" i="65"/>
  <c r="AA246" i="65"/>
  <c r="AB246" i="65"/>
  <c r="H245" i="65"/>
  <c r="I245" i="65"/>
  <c r="J245" i="65"/>
  <c r="K245" i="65"/>
  <c r="L245" i="65"/>
  <c r="M245" i="65"/>
  <c r="N245" i="65"/>
  <c r="O245" i="65"/>
  <c r="P245" i="65"/>
  <c r="Q245" i="65"/>
  <c r="R245" i="65"/>
  <c r="S245" i="65"/>
  <c r="T245" i="65"/>
  <c r="U245" i="65"/>
  <c r="V245" i="65"/>
  <c r="W245" i="65"/>
  <c r="X245" i="65"/>
  <c r="Y245" i="65"/>
  <c r="Z245" i="65"/>
  <c r="AA245" i="65"/>
  <c r="AB245" i="65"/>
  <c r="H244" i="65"/>
  <c r="I244" i="65"/>
  <c r="J244" i="65"/>
  <c r="K244" i="65"/>
  <c r="L244" i="65"/>
  <c r="M244" i="65"/>
  <c r="N244" i="65"/>
  <c r="O244" i="65"/>
  <c r="P244" i="65"/>
  <c r="Q244" i="65"/>
  <c r="R244" i="65"/>
  <c r="S244" i="65"/>
  <c r="T244" i="65"/>
  <c r="U244" i="65"/>
  <c r="V244" i="65"/>
  <c r="W244" i="65"/>
  <c r="X244" i="65"/>
  <c r="Y244" i="65"/>
  <c r="Z244" i="65"/>
  <c r="AA244" i="65"/>
  <c r="AB244" i="65"/>
  <c r="H237" i="65"/>
  <c r="I237" i="65"/>
  <c r="J237" i="65"/>
  <c r="K237" i="65"/>
  <c r="L237" i="65"/>
  <c r="M237" i="65"/>
  <c r="N237" i="65"/>
  <c r="O237" i="65"/>
  <c r="P237" i="65"/>
  <c r="Q237" i="65"/>
  <c r="R237" i="65"/>
  <c r="S237" i="65"/>
  <c r="T237" i="65"/>
  <c r="U237" i="65"/>
  <c r="V237" i="65"/>
  <c r="W237" i="65"/>
  <c r="X237" i="65"/>
  <c r="Y237" i="65"/>
  <c r="Z237" i="65"/>
  <c r="AA237" i="65"/>
  <c r="AB237" i="65"/>
  <c r="H231" i="65"/>
  <c r="I231" i="65"/>
  <c r="K231" i="65"/>
  <c r="L231" i="65"/>
  <c r="N231" i="65"/>
  <c r="O231" i="65"/>
  <c r="P231" i="65"/>
  <c r="R231" i="65"/>
  <c r="S231" i="65"/>
  <c r="T231" i="65"/>
  <c r="U231" i="65"/>
  <c r="V231" i="65"/>
  <c r="X231" i="65"/>
  <c r="Y231" i="65"/>
  <c r="Z231" i="65"/>
  <c r="AA231" i="65"/>
  <c r="AB231" i="65"/>
  <c r="R229" i="65"/>
  <c r="S229" i="65"/>
  <c r="X229" i="65"/>
  <c r="AA229" i="65"/>
  <c r="AB229" i="65"/>
  <c r="H227" i="65"/>
  <c r="I227" i="65"/>
  <c r="J227" i="65"/>
  <c r="J231" i="65" s="1"/>
  <c r="K227" i="65"/>
  <c r="L227" i="65"/>
  <c r="N227" i="65"/>
  <c r="O227" i="65"/>
  <c r="P227" i="65"/>
  <c r="R227" i="65"/>
  <c r="S227" i="65"/>
  <c r="T227" i="65"/>
  <c r="U227" i="65"/>
  <c r="V227" i="65"/>
  <c r="W227" i="65"/>
  <c r="W231" i="65" s="1"/>
  <c r="X227" i="65"/>
  <c r="Y227" i="65"/>
  <c r="Z227" i="65"/>
  <c r="AA227" i="65"/>
  <c r="AB227" i="65"/>
  <c r="H226" i="65"/>
  <c r="I226" i="65"/>
  <c r="J226" i="65"/>
  <c r="K226" i="65"/>
  <c r="L226" i="65"/>
  <c r="M226" i="65"/>
  <c r="N226" i="65"/>
  <c r="O226" i="65"/>
  <c r="P226" i="65"/>
  <c r="Q226" i="65"/>
  <c r="R226" i="65"/>
  <c r="S226" i="65"/>
  <c r="T226" i="65"/>
  <c r="U226" i="65"/>
  <c r="V226" i="65"/>
  <c r="W226" i="65"/>
  <c r="X226" i="65"/>
  <c r="Y226" i="65"/>
  <c r="Z226" i="65"/>
  <c r="AA226" i="65"/>
  <c r="AB226" i="65"/>
  <c r="H191" i="65"/>
  <c r="I191" i="65"/>
  <c r="J191" i="65"/>
  <c r="K191" i="65"/>
  <c r="L191" i="65"/>
  <c r="M191" i="65"/>
  <c r="M227" i="65" s="1"/>
  <c r="M231" i="65" s="1"/>
  <c r="N191" i="65"/>
  <c r="O191" i="65"/>
  <c r="P191" i="65"/>
  <c r="Q191" i="65"/>
  <c r="Q227" i="65" s="1"/>
  <c r="R191" i="65"/>
  <c r="S191" i="65"/>
  <c r="T191" i="65"/>
  <c r="U191" i="65"/>
  <c r="V191" i="65"/>
  <c r="W191" i="65"/>
  <c r="X191" i="65"/>
  <c r="Y191" i="65"/>
  <c r="Z191" i="65"/>
  <c r="AA191" i="65"/>
  <c r="AB191" i="65"/>
  <c r="H176" i="65"/>
  <c r="I176" i="65"/>
  <c r="J176" i="65"/>
  <c r="K176" i="65"/>
  <c r="L176" i="65"/>
  <c r="M176" i="65"/>
  <c r="O176" i="65"/>
  <c r="P176" i="65"/>
  <c r="Q176" i="65"/>
  <c r="R176" i="65"/>
  <c r="S176" i="65"/>
  <c r="T176" i="65"/>
  <c r="U176" i="65"/>
  <c r="V176" i="65"/>
  <c r="W176" i="65"/>
  <c r="X176" i="65"/>
  <c r="Y176" i="65"/>
  <c r="Z176" i="65"/>
  <c r="AA176" i="65"/>
  <c r="AB176" i="65"/>
  <c r="J175" i="65"/>
  <c r="K175" i="65"/>
  <c r="L175" i="65"/>
  <c r="M175" i="65"/>
  <c r="N175" i="65"/>
  <c r="P175" i="65"/>
  <c r="Q175" i="65"/>
  <c r="R175" i="65"/>
  <c r="S175" i="65"/>
  <c r="T175" i="65"/>
  <c r="U175" i="65"/>
  <c r="V175" i="65"/>
  <c r="X175" i="65"/>
  <c r="Y175" i="65"/>
  <c r="Z175" i="65"/>
  <c r="AA175" i="65"/>
  <c r="AB175" i="65"/>
  <c r="J173" i="65"/>
  <c r="K173" i="65"/>
  <c r="K229" i="65" s="1"/>
  <c r="L173" i="65"/>
  <c r="L229" i="65" s="1"/>
  <c r="M173" i="65"/>
  <c r="P173" i="65"/>
  <c r="P229" i="65" s="1"/>
  <c r="Q173" i="65"/>
  <c r="R173" i="65"/>
  <c r="S173" i="65"/>
  <c r="T173" i="65"/>
  <c r="T229" i="65" s="1"/>
  <c r="U173" i="65"/>
  <c r="U229" i="65" s="1"/>
  <c r="V173" i="65"/>
  <c r="V229" i="65" s="1"/>
  <c r="X173" i="65"/>
  <c r="Y173" i="65"/>
  <c r="Y229" i="65" s="1"/>
  <c r="Z173" i="65"/>
  <c r="Z229" i="65" s="1"/>
  <c r="AA173" i="65"/>
  <c r="AB173" i="65"/>
  <c r="H170" i="65"/>
  <c r="I170" i="65"/>
  <c r="J170" i="65"/>
  <c r="K170" i="65"/>
  <c r="L170" i="65"/>
  <c r="M170" i="65"/>
  <c r="N170" i="65"/>
  <c r="N173" i="65" s="1"/>
  <c r="N229" i="65" s="1"/>
  <c r="O170" i="65"/>
  <c r="P170" i="65"/>
  <c r="Q170" i="65"/>
  <c r="R170" i="65"/>
  <c r="S170" i="65"/>
  <c r="T170" i="65"/>
  <c r="U170" i="65"/>
  <c r="V170" i="65"/>
  <c r="W170" i="65"/>
  <c r="X170" i="65"/>
  <c r="Y170" i="65"/>
  <c r="Z170" i="65"/>
  <c r="AA170" i="65"/>
  <c r="AB170" i="65"/>
  <c r="H156" i="65"/>
  <c r="I156" i="65"/>
  <c r="J156" i="65"/>
  <c r="K156" i="65"/>
  <c r="L156" i="65"/>
  <c r="M156" i="65"/>
  <c r="N156" i="65"/>
  <c r="O156" i="65"/>
  <c r="P156" i="65"/>
  <c r="Q156" i="65"/>
  <c r="R156" i="65"/>
  <c r="S156" i="65"/>
  <c r="T156" i="65"/>
  <c r="U156" i="65"/>
  <c r="V156" i="65"/>
  <c r="W156" i="65"/>
  <c r="X156" i="65"/>
  <c r="Y156" i="65"/>
  <c r="Z156" i="65"/>
  <c r="AA156" i="65"/>
  <c r="AB156" i="65"/>
  <c r="J142" i="65"/>
  <c r="K142" i="65"/>
  <c r="L142" i="65"/>
  <c r="M142" i="65"/>
  <c r="N142" i="65"/>
  <c r="O142" i="65"/>
  <c r="P142" i="65"/>
  <c r="Q142" i="65"/>
  <c r="R142" i="65"/>
  <c r="S142" i="65"/>
  <c r="T142" i="65"/>
  <c r="U142" i="65"/>
  <c r="V142" i="65"/>
  <c r="W142" i="65"/>
  <c r="X142" i="65"/>
  <c r="Y142" i="65"/>
  <c r="Z142" i="65"/>
  <c r="AA142" i="65"/>
  <c r="AB142" i="65"/>
  <c r="I140" i="65"/>
  <c r="J140" i="65"/>
  <c r="K140" i="65"/>
  <c r="L140" i="65"/>
  <c r="M140" i="65"/>
  <c r="N140" i="65"/>
  <c r="O140" i="65"/>
  <c r="P140" i="65"/>
  <c r="Q140" i="65"/>
  <c r="R140" i="65"/>
  <c r="S140" i="65"/>
  <c r="T140" i="65"/>
  <c r="U140" i="65"/>
  <c r="V140" i="65"/>
  <c r="W140" i="65"/>
  <c r="X140" i="65"/>
  <c r="Y140" i="65"/>
  <c r="Z140" i="65"/>
  <c r="AA140" i="65"/>
  <c r="AB140" i="65"/>
  <c r="I127" i="65"/>
  <c r="I142" i="65" s="1"/>
  <c r="J127" i="65"/>
  <c r="K127" i="65"/>
  <c r="L127" i="65"/>
  <c r="M127" i="65"/>
  <c r="N127" i="65"/>
  <c r="O127" i="65"/>
  <c r="P127" i="65"/>
  <c r="Q127" i="65"/>
  <c r="R127" i="65"/>
  <c r="S127" i="65"/>
  <c r="T127" i="65"/>
  <c r="U127" i="65"/>
  <c r="V127" i="65"/>
  <c r="W127" i="65"/>
  <c r="X127" i="65"/>
  <c r="Y127" i="65"/>
  <c r="Z127" i="65"/>
  <c r="AA127" i="65"/>
  <c r="AB127" i="65"/>
  <c r="H109" i="65"/>
  <c r="I109" i="65"/>
  <c r="J109" i="65"/>
  <c r="K109" i="65"/>
  <c r="L109" i="65"/>
  <c r="M109" i="65"/>
  <c r="N109" i="65"/>
  <c r="O109" i="65"/>
  <c r="P109" i="65"/>
  <c r="Q109" i="65"/>
  <c r="R109" i="65"/>
  <c r="S109" i="65"/>
  <c r="T109" i="65"/>
  <c r="U109" i="65"/>
  <c r="V109" i="65"/>
  <c r="W109" i="65"/>
  <c r="X109" i="65"/>
  <c r="Y109" i="65"/>
  <c r="Z109" i="65"/>
  <c r="AA109" i="65"/>
  <c r="AB109" i="65"/>
  <c r="H94" i="65"/>
  <c r="I94" i="65"/>
  <c r="J94" i="65"/>
  <c r="K94" i="65"/>
  <c r="L94" i="65"/>
  <c r="M94" i="65"/>
  <c r="N94" i="65"/>
  <c r="O94" i="65"/>
  <c r="P94" i="65"/>
  <c r="Q94" i="65"/>
  <c r="R94" i="65"/>
  <c r="S94" i="65"/>
  <c r="T94" i="65"/>
  <c r="U94" i="65"/>
  <c r="V94" i="65"/>
  <c r="W94" i="65"/>
  <c r="X94" i="65"/>
  <c r="Y94" i="65"/>
  <c r="Z94" i="65"/>
  <c r="AA94" i="65"/>
  <c r="AB94" i="65"/>
  <c r="H91" i="65"/>
  <c r="I91" i="65"/>
  <c r="J91" i="65"/>
  <c r="K91" i="65"/>
  <c r="L91" i="65"/>
  <c r="M91" i="65"/>
  <c r="N91" i="65"/>
  <c r="O91" i="65"/>
  <c r="P91" i="65"/>
  <c r="Q91" i="65"/>
  <c r="R91" i="65"/>
  <c r="S91" i="65"/>
  <c r="T91" i="65"/>
  <c r="U91" i="65"/>
  <c r="V91" i="65"/>
  <c r="W91" i="65"/>
  <c r="X91" i="65"/>
  <c r="Y91" i="65"/>
  <c r="Z91" i="65"/>
  <c r="AA91" i="65"/>
  <c r="AB91" i="65"/>
  <c r="O173" i="65"/>
  <c r="O229" i="65" s="1"/>
  <c r="H64" i="65"/>
  <c r="I64" i="65"/>
  <c r="J64" i="65"/>
  <c r="K64" i="65"/>
  <c r="L64" i="65"/>
  <c r="M64" i="65"/>
  <c r="N64" i="65"/>
  <c r="O64" i="65"/>
  <c r="P64" i="65"/>
  <c r="Q64" i="65"/>
  <c r="R64" i="65"/>
  <c r="S64" i="65"/>
  <c r="T64" i="65"/>
  <c r="U64" i="65"/>
  <c r="V64" i="65"/>
  <c r="W64" i="65"/>
  <c r="X64" i="65"/>
  <c r="Y64" i="65"/>
  <c r="Z64" i="65"/>
  <c r="AA64" i="65"/>
  <c r="AB64" i="65"/>
  <c r="H57" i="65"/>
  <c r="I57" i="65"/>
  <c r="J57" i="65"/>
  <c r="K57" i="65"/>
  <c r="L57" i="65"/>
  <c r="M57" i="65"/>
  <c r="N57" i="65"/>
  <c r="O57" i="65"/>
  <c r="P57" i="65"/>
  <c r="Q57" i="65"/>
  <c r="R57" i="65"/>
  <c r="S57" i="65"/>
  <c r="T57" i="65"/>
  <c r="U57" i="65"/>
  <c r="V57" i="65"/>
  <c r="W57" i="65"/>
  <c r="X57" i="65"/>
  <c r="Y57" i="65"/>
  <c r="Z57" i="65"/>
  <c r="AA57" i="65"/>
  <c r="AB57" i="65"/>
  <c r="H43" i="65"/>
  <c r="I43" i="65"/>
  <c r="J43" i="65"/>
  <c r="K43" i="65"/>
  <c r="L43" i="65"/>
  <c r="M43" i="65"/>
  <c r="N43" i="65"/>
  <c r="O43" i="65"/>
  <c r="P43" i="65"/>
  <c r="Q43" i="65"/>
  <c r="R43" i="65"/>
  <c r="S43" i="65"/>
  <c r="T43" i="65"/>
  <c r="U43" i="65"/>
  <c r="V43" i="65"/>
  <c r="W43" i="65"/>
  <c r="X43" i="65"/>
  <c r="Y43" i="65"/>
  <c r="Z43" i="65"/>
  <c r="AA43" i="65"/>
  <c r="AB43" i="65"/>
  <c r="H17" i="65"/>
  <c r="I17" i="65"/>
  <c r="J17" i="65"/>
  <c r="K17" i="65"/>
  <c r="L17" i="65"/>
  <c r="M17" i="65"/>
  <c r="N17" i="65"/>
  <c r="O17" i="65"/>
  <c r="P17" i="65"/>
  <c r="Q17" i="65"/>
  <c r="R17" i="65"/>
  <c r="S17" i="65"/>
  <c r="T17" i="65"/>
  <c r="U17" i="65"/>
  <c r="V17" i="65"/>
  <c r="W17" i="65"/>
  <c r="X17" i="65"/>
  <c r="Y17" i="65"/>
  <c r="Z17" i="65"/>
  <c r="AA17" i="65"/>
  <c r="AB17" i="65"/>
  <c r="H9" i="65"/>
  <c r="I9" i="65"/>
  <c r="J9" i="65"/>
  <c r="K9" i="65"/>
  <c r="L9" i="65"/>
  <c r="M9" i="65"/>
  <c r="N9" i="65"/>
  <c r="O9" i="65"/>
  <c r="P9" i="65"/>
  <c r="Q9" i="65"/>
  <c r="R9" i="65"/>
  <c r="S9" i="65"/>
  <c r="T9" i="65"/>
  <c r="U9" i="65"/>
  <c r="V9" i="65"/>
  <c r="W9" i="65"/>
  <c r="X9" i="65"/>
  <c r="Y9" i="65"/>
  <c r="Z9" i="65"/>
  <c r="AA9" i="65"/>
  <c r="AB9" i="65"/>
  <c r="G62" i="66" l="1"/>
  <c r="W62" i="66"/>
  <c r="F104" i="66"/>
  <c r="F62" i="66"/>
  <c r="M104" i="66"/>
  <c r="M62" i="66"/>
  <c r="S62" i="66"/>
  <c r="O62" i="66"/>
  <c r="R104" i="66"/>
  <c r="Y62" i="66"/>
  <c r="E104" i="66"/>
  <c r="P104" i="66"/>
  <c r="P62" i="66"/>
  <c r="V62" i="66"/>
  <c r="N62" i="66"/>
  <c r="I62" i="66"/>
  <c r="X62" i="66"/>
  <c r="L104" i="66"/>
  <c r="L62" i="66"/>
  <c r="H104" i="66"/>
  <c r="H62" i="66"/>
  <c r="J104" i="66"/>
  <c r="U62" i="66"/>
  <c r="U104" i="66"/>
  <c r="K104" i="66"/>
  <c r="K62" i="66"/>
  <c r="T62" i="66"/>
  <c r="Q62" i="66"/>
  <c r="W229" i="65"/>
  <c r="W175" i="65"/>
  <c r="Q229" i="65"/>
  <c r="Q231" i="65"/>
  <c r="O175" i="65"/>
  <c r="N176" i="65"/>
  <c r="M229" i="65"/>
  <c r="J229" i="65"/>
  <c r="I173" i="65"/>
  <c r="I229" i="65" s="1"/>
  <c r="I175" i="65"/>
  <c r="H142" i="65"/>
  <c r="H173" i="65" s="1"/>
  <c r="H229" i="65" s="1"/>
  <c r="H175" i="65" l="1"/>
  <c r="H161" i="64" l="1"/>
  <c r="H144" i="64"/>
  <c r="H273" i="64"/>
  <c r="V292" i="64"/>
  <c r="H292" i="64"/>
  <c r="I292" i="64"/>
  <c r="J292" i="64"/>
  <c r="K292" i="64"/>
  <c r="L292" i="64"/>
  <c r="M292" i="64"/>
  <c r="N292" i="64"/>
  <c r="O292" i="64"/>
  <c r="P292" i="64"/>
  <c r="Q292" i="64"/>
  <c r="R292" i="64"/>
  <c r="S292" i="64"/>
  <c r="T292" i="64"/>
  <c r="U292" i="64"/>
  <c r="W292" i="64"/>
  <c r="X292" i="64"/>
  <c r="Y292" i="64"/>
  <c r="Z292" i="64"/>
  <c r="AA292" i="64"/>
  <c r="AB292" i="64"/>
  <c r="J291" i="64"/>
  <c r="K291" i="64"/>
  <c r="L291" i="64"/>
  <c r="N291" i="64"/>
  <c r="P291" i="64"/>
  <c r="R291" i="64"/>
  <c r="S291" i="64"/>
  <c r="T291" i="64"/>
  <c r="U291" i="64"/>
  <c r="W291" i="64"/>
  <c r="Y291" i="64"/>
  <c r="Z291" i="64"/>
  <c r="AB291" i="64"/>
  <c r="H271" i="64"/>
  <c r="I271" i="64"/>
  <c r="J271" i="64"/>
  <c r="K271" i="64"/>
  <c r="L271" i="64"/>
  <c r="M271" i="64"/>
  <c r="N271" i="64"/>
  <c r="O271" i="64"/>
  <c r="P271" i="64"/>
  <c r="Q271" i="64"/>
  <c r="R271" i="64"/>
  <c r="S271" i="64"/>
  <c r="T271" i="64"/>
  <c r="U271" i="64"/>
  <c r="V271" i="64"/>
  <c r="W271" i="64"/>
  <c r="X271" i="64"/>
  <c r="Y271" i="64"/>
  <c r="Z271" i="64"/>
  <c r="AA271" i="64"/>
  <c r="AB271" i="64"/>
  <c r="H272" i="64"/>
  <c r="I272" i="64"/>
  <c r="J272" i="64"/>
  <c r="K272" i="64"/>
  <c r="L272" i="64"/>
  <c r="M272" i="64"/>
  <c r="N272" i="64"/>
  <c r="O272" i="64"/>
  <c r="P272" i="64"/>
  <c r="Q272" i="64"/>
  <c r="R272" i="64"/>
  <c r="S272" i="64"/>
  <c r="T272" i="64"/>
  <c r="U272" i="64"/>
  <c r="V272" i="64"/>
  <c r="W272" i="64"/>
  <c r="X272" i="64"/>
  <c r="Y272" i="64"/>
  <c r="Z272" i="64"/>
  <c r="AA272" i="64"/>
  <c r="AB272" i="64"/>
  <c r="I273" i="64"/>
  <c r="J273" i="64"/>
  <c r="K273" i="64"/>
  <c r="L273" i="64"/>
  <c r="M273" i="64"/>
  <c r="N273" i="64"/>
  <c r="O273" i="64"/>
  <c r="P273" i="64"/>
  <c r="Q273" i="64"/>
  <c r="R273" i="64"/>
  <c r="S273" i="64"/>
  <c r="T273" i="64"/>
  <c r="U273" i="64"/>
  <c r="V273" i="64"/>
  <c r="W273" i="64"/>
  <c r="X273" i="64"/>
  <c r="Y273" i="64"/>
  <c r="Z273" i="64"/>
  <c r="AA273" i="64"/>
  <c r="AB273" i="64"/>
  <c r="H274" i="64"/>
  <c r="I274" i="64"/>
  <c r="J274" i="64"/>
  <c r="K274" i="64"/>
  <c r="L274" i="64"/>
  <c r="M274" i="64"/>
  <c r="N274" i="64"/>
  <c r="O274" i="64"/>
  <c r="P274" i="64"/>
  <c r="Q274" i="64"/>
  <c r="R274" i="64"/>
  <c r="S274" i="64"/>
  <c r="T274" i="64"/>
  <c r="U274" i="64"/>
  <c r="V274" i="64"/>
  <c r="W274" i="64"/>
  <c r="X274" i="64"/>
  <c r="Y274" i="64"/>
  <c r="Z274" i="64"/>
  <c r="AA274" i="64"/>
  <c r="AA291" i="64" s="1"/>
  <c r="AB274" i="64"/>
  <c r="I275" i="64"/>
  <c r="J275" i="64"/>
  <c r="K275" i="64"/>
  <c r="L275" i="64"/>
  <c r="M275" i="64"/>
  <c r="N275" i="64"/>
  <c r="O275" i="64"/>
  <c r="P275" i="64"/>
  <c r="Q275" i="64"/>
  <c r="R275" i="64"/>
  <c r="S275" i="64"/>
  <c r="T275" i="64"/>
  <c r="U275" i="64"/>
  <c r="V275" i="64"/>
  <c r="W275" i="64"/>
  <c r="X275" i="64"/>
  <c r="Y275" i="64"/>
  <c r="Z275" i="64"/>
  <c r="AA275" i="64"/>
  <c r="AB275" i="64"/>
  <c r="H276" i="64"/>
  <c r="I276" i="64"/>
  <c r="J276" i="64"/>
  <c r="K276" i="64"/>
  <c r="L276" i="64"/>
  <c r="M276" i="64"/>
  <c r="N276" i="64"/>
  <c r="O276" i="64"/>
  <c r="P276" i="64"/>
  <c r="Q276" i="64"/>
  <c r="R276" i="64"/>
  <c r="S276" i="64"/>
  <c r="T276" i="64"/>
  <c r="U276" i="64"/>
  <c r="V276" i="64"/>
  <c r="W276" i="64"/>
  <c r="X276" i="64"/>
  <c r="Y276" i="64"/>
  <c r="Z276" i="64"/>
  <c r="AA276" i="64"/>
  <c r="AB276" i="64"/>
  <c r="H277" i="64"/>
  <c r="I277" i="64"/>
  <c r="J277" i="64"/>
  <c r="K277" i="64"/>
  <c r="L277" i="64"/>
  <c r="M277" i="64"/>
  <c r="N277" i="64"/>
  <c r="O277" i="64"/>
  <c r="P277" i="64"/>
  <c r="Q277" i="64"/>
  <c r="R277" i="64"/>
  <c r="S277" i="64"/>
  <c r="T277" i="64"/>
  <c r="U277" i="64"/>
  <c r="V277" i="64"/>
  <c r="W277" i="64"/>
  <c r="X277" i="64"/>
  <c r="Y277" i="64"/>
  <c r="Z277" i="64"/>
  <c r="AA277" i="64"/>
  <c r="AB277" i="64"/>
  <c r="H278" i="64"/>
  <c r="I278" i="64"/>
  <c r="J278" i="64"/>
  <c r="K278" i="64"/>
  <c r="L278" i="64"/>
  <c r="M278" i="64"/>
  <c r="N278" i="64"/>
  <c r="O278" i="64"/>
  <c r="P278" i="64"/>
  <c r="Q278" i="64"/>
  <c r="R278" i="64"/>
  <c r="S278" i="64"/>
  <c r="T278" i="64"/>
  <c r="U278" i="64"/>
  <c r="V278" i="64"/>
  <c r="W278" i="64"/>
  <c r="X278" i="64"/>
  <c r="Y278" i="64"/>
  <c r="Z278" i="64"/>
  <c r="AA278" i="64"/>
  <c r="AB278" i="64"/>
  <c r="H279" i="64"/>
  <c r="I279" i="64"/>
  <c r="I291" i="64" s="1"/>
  <c r="J279" i="64"/>
  <c r="K279" i="64"/>
  <c r="L279" i="64"/>
  <c r="M279" i="64"/>
  <c r="N279" i="64"/>
  <c r="O279" i="64"/>
  <c r="P279" i="64"/>
  <c r="Q279" i="64"/>
  <c r="R279" i="64"/>
  <c r="S279" i="64"/>
  <c r="T279" i="64"/>
  <c r="U279" i="64"/>
  <c r="V279" i="64"/>
  <c r="W279" i="64"/>
  <c r="X279" i="64"/>
  <c r="Y279" i="64"/>
  <c r="Z279" i="64"/>
  <c r="AA279" i="64"/>
  <c r="AB279" i="64"/>
  <c r="H280" i="64"/>
  <c r="I280" i="64"/>
  <c r="J280" i="64"/>
  <c r="K280" i="64"/>
  <c r="L280" i="64"/>
  <c r="M280" i="64"/>
  <c r="N280" i="64"/>
  <c r="O280" i="64"/>
  <c r="P280" i="64"/>
  <c r="Q280" i="64"/>
  <c r="R280" i="64"/>
  <c r="S280" i="64"/>
  <c r="T280" i="64"/>
  <c r="U280" i="64"/>
  <c r="V280" i="64"/>
  <c r="W280" i="64"/>
  <c r="X280" i="64"/>
  <c r="Y280" i="64"/>
  <c r="Z280" i="64"/>
  <c r="AA280" i="64"/>
  <c r="AB280" i="64"/>
  <c r="H281" i="64"/>
  <c r="I281" i="64"/>
  <c r="J281" i="64"/>
  <c r="K281" i="64"/>
  <c r="L281" i="64"/>
  <c r="M281" i="64"/>
  <c r="N281" i="64"/>
  <c r="O281" i="64"/>
  <c r="P281" i="64"/>
  <c r="Q281" i="64"/>
  <c r="R281" i="64"/>
  <c r="S281" i="64"/>
  <c r="T281" i="64"/>
  <c r="U281" i="64"/>
  <c r="V281" i="64"/>
  <c r="W281" i="64"/>
  <c r="X281" i="64"/>
  <c r="Y281" i="64"/>
  <c r="Z281" i="64"/>
  <c r="AA281" i="64"/>
  <c r="AB281" i="64"/>
  <c r="H282" i="64"/>
  <c r="I282" i="64"/>
  <c r="J282" i="64"/>
  <c r="K282" i="64"/>
  <c r="L282" i="64"/>
  <c r="M282" i="64"/>
  <c r="N282" i="64"/>
  <c r="O282" i="64"/>
  <c r="P282" i="64"/>
  <c r="Q282" i="64"/>
  <c r="R282" i="64"/>
  <c r="S282" i="64"/>
  <c r="T282" i="64"/>
  <c r="U282" i="64"/>
  <c r="V282" i="64"/>
  <c r="W282" i="64"/>
  <c r="X282" i="64"/>
  <c r="Y282" i="64"/>
  <c r="Z282" i="64"/>
  <c r="AA282" i="64"/>
  <c r="AB282" i="64"/>
  <c r="H283" i="64"/>
  <c r="I283" i="64"/>
  <c r="J283" i="64"/>
  <c r="K283" i="64"/>
  <c r="L283" i="64"/>
  <c r="M283" i="64"/>
  <c r="N283" i="64"/>
  <c r="O283" i="64"/>
  <c r="P283" i="64"/>
  <c r="Q283" i="64"/>
  <c r="R283" i="64"/>
  <c r="S283" i="64"/>
  <c r="T283" i="64"/>
  <c r="U283" i="64"/>
  <c r="V283" i="64"/>
  <c r="W283" i="64"/>
  <c r="X283" i="64"/>
  <c r="Y283" i="64"/>
  <c r="Z283" i="64"/>
  <c r="AA283" i="64"/>
  <c r="AB283" i="64"/>
  <c r="H284" i="64"/>
  <c r="I284" i="64"/>
  <c r="J284" i="64"/>
  <c r="K284" i="64"/>
  <c r="L284" i="64"/>
  <c r="M284" i="64"/>
  <c r="M291" i="64" s="1"/>
  <c r="N284" i="64"/>
  <c r="O284" i="64"/>
  <c r="P284" i="64"/>
  <c r="Q284" i="64"/>
  <c r="R284" i="64"/>
  <c r="S284" i="64"/>
  <c r="T284" i="64"/>
  <c r="U284" i="64"/>
  <c r="V284" i="64"/>
  <c r="W284" i="64"/>
  <c r="X284" i="64"/>
  <c r="Y284" i="64"/>
  <c r="Z284" i="64"/>
  <c r="AA284" i="64"/>
  <c r="AB284" i="64"/>
  <c r="H286" i="64"/>
  <c r="I286" i="64"/>
  <c r="J286" i="64"/>
  <c r="K286" i="64"/>
  <c r="L286" i="64"/>
  <c r="M286" i="64"/>
  <c r="N286" i="64"/>
  <c r="O286" i="64"/>
  <c r="P286" i="64"/>
  <c r="Q286" i="64"/>
  <c r="R286" i="64"/>
  <c r="S286" i="64"/>
  <c r="T286" i="64"/>
  <c r="U286" i="64"/>
  <c r="V286" i="64"/>
  <c r="W286" i="64"/>
  <c r="X286" i="64"/>
  <c r="Y286" i="64"/>
  <c r="Z286" i="64"/>
  <c r="AA286" i="64"/>
  <c r="AB286" i="64"/>
  <c r="H287" i="64"/>
  <c r="I287" i="64"/>
  <c r="J287" i="64"/>
  <c r="K287" i="64"/>
  <c r="L287" i="64"/>
  <c r="M287" i="64"/>
  <c r="N287" i="64"/>
  <c r="O287" i="64"/>
  <c r="P287" i="64"/>
  <c r="Q287" i="64"/>
  <c r="R287" i="64"/>
  <c r="S287" i="64"/>
  <c r="T287" i="64"/>
  <c r="U287" i="64"/>
  <c r="V287" i="64"/>
  <c r="W287" i="64"/>
  <c r="X287" i="64"/>
  <c r="Y287" i="64"/>
  <c r="Z287" i="64"/>
  <c r="AA287" i="64"/>
  <c r="AB287" i="64"/>
  <c r="H288" i="64"/>
  <c r="I288" i="64"/>
  <c r="J288" i="64"/>
  <c r="K288" i="64"/>
  <c r="L288" i="64"/>
  <c r="M288" i="64"/>
  <c r="N288" i="64"/>
  <c r="O288" i="64"/>
  <c r="P288" i="64"/>
  <c r="Q288" i="64"/>
  <c r="R288" i="64"/>
  <c r="S288" i="64"/>
  <c r="T288" i="64"/>
  <c r="U288" i="64"/>
  <c r="V288" i="64"/>
  <c r="W288" i="64"/>
  <c r="X288" i="64"/>
  <c r="Y288" i="64"/>
  <c r="Z288" i="64"/>
  <c r="AA288" i="64"/>
  <c r="AB288" i="64"/>
  <c r="H267" i="64"/>
  <c r="I267" i="64"/>
  <c r="J267" i="64"/>
  <c r="K267" i="64"/>
  <c r="L267" i="64"/>
  <c r="M267" i="64"/>
  <c r="N267" i="64"/>
  <c r="O267" i="64"/>
  <c r="P267" i="64"/>
  <c r="Q267" i="64"/>
  <c r="R267" i="64"/>
  <c r="S267" i="64"/>
  <c r="T267" i="64"/>
  <c r="U267" i="64"/>
  <c r="V267" i="64"/>
  <c r="W267" i="64"/>
  <c r="X267" i="64"/>
  <c r="Y267" i="64"/>
  <c r="Z267" i="64"/>
  <c r="AA267" i="64"/>
  <c r="AB267" i="64"/>
  <c r="H264" i="64"/>
  <c r="I264" i="64"/>
  <c r="J264" i="64"/>
  <c r="K264" i="64"/>
  <c r="L264" i="64"/>
  <c r="M264" i="64"/>
  <c r="N264" i="64"/>
  <c r="O264" i="64"/>
  <c r="P264" i="64"/>
  <c r="Q264" i="64"/>
  <c r="R264" i="64"/>
  <c r="S264" i="64"/>
  <c r="T264" i="64"/>
  <c r="U264" i="64"/>
  <c r="V264" i="64"/>
  <c r="W264" i="64"/>
  <c r="X264" i="64"/>
  <c r="Y264" i="64"/>
  <c r="Z264" i="64"/>
  <c r="AA264" i="64"/>
  <c r="AB264" i="64"/>
  <c r="H258" i="64"/>
  <c r="H259" i="64" s="1"/>
  <c r="K258" i="64"/>
  <c r="M258" i="64"/>
  <c r="R258" i="64"/>
  <c r="U258" i="64"/>
  <c r="Y258" i="64"/>
  <c r="Z258" i="64"/>
  <c r="K259" i="64"/>
  <c r="R259" i="64"/>
  <c r="U259" i="64"/>
  <c r="Y259" i="64"/>
  <c r="H253" i="64"/>
  <c r="I253" i="64"/>
  <c r="J253" i="64"/>
  <c r="K253" i="64"/>
  <c r="L253" i="64"/>
  <c r="M253" i="64"/>
  <c r="N253" i="64"/>
  <c r="O253" i="64"/>
  <c r="P253" i="64"/>
  <c r="Q253" i="64"/>
  <c r="R253" i="64"/>
  <c r="S253" i="64"/>
  <c r="T253" i="64"/>
  <c r="U253" i="64"/>
  <c r="V253" i="64"/>
  <c r="V254" i="64" s="1"/>
  <c r="W253" i="64"/>
  <c r="X253" i="64"/>
  <c r="Y253" i="64"/>
  <c r="Z253" i="64"/>
  <c r="AA253" i="64"/>
  <c r="AB253" i="64"/>
  <c r="H216" i="64"/>
  <c r="I216" i="64"/>
  <c r="I258" i="64" s="1"/>
  <c r="I259" i="64" s="1"/>
  <c r="J216" i="64"/>
  <c r="K216" i="64"/>
  <c r="L216" i="64"/>
  <c r="M216" i="64"/>
  <c r="N216" i="64"/>
  <c r="O216" i="64"/>
  <c r="P216" i="64"/>
  <c r="Q258" i="64"/>
  <c r="R216" i="64"/>
  <c r="S216" i="64"/>
  <c r="T216" i="64"/>
  <c r="T258" i="64" s="1"/>
  <c r="U216" i="64"/>
  <c r="W216" i="64"/>
  <c r="W258" i="64" s="1"/>
  <c r="W259" i="64" s="1"/>
  <c r="X216" i="64"/>
  <c r="Y216" i="64"/>
  <c r="Z216" i="64"/>
  <c r="AA216" i="64"/>
  <c r="AB216" i="64"/>
  <c r="H201" i="64"/>
  <c r="I201" i="64"/>
  <c r="J201" i="64"/>
  <c r="K201" i="64"/>
  <c r="L201" i="64"/>
  <c r="M201" i="64"/>
  <c r="M259" i="64" s="1"/>
  <c r="N201" i="64"/>
  <c r="O201" i="64"/>
  <c r="P201" i="64"/>
  <c r="Q201" i="64"/>
  <c r="R201" i="64"/>
  <c r="S201" i="64"/>
  <c r="T201" i="64"/>
  <c r="U201" i="64"/>
  <c r="W201" i="64"/>
  <c r="X201" i="64"/>
  <c r="Y201" i="64"/>
  <c r="Z201" i="64"/>
  <c r="AA201" i="64"/>
  <c r="AB201" i="64"/>
  <c r="H195" i="64"/>
  <c r="I195" i="64"/>
  <c r="J195" i="64"/>
  <c r="K195" i="64"/>
  <c r="L195" i="64"/>
  <c r="M195" i="64"/>
  <c r="N195" i="64"/>
  <c r="O195" i="64"/>
  <c r="P195" i="64"/>
  <c r="Q195" i="64"/>
  <c r="R195" i="64"/>
  <c r="S195" i="64"/>
  <c r="T195" i="64"/>
  <c r="U195" i="64"/>
  <c r="V195" i="64"/>
  <c r="V201" i="64" s="1"/>
  <c r="W195" i="64"/>
  <c r="X195" i="64"/>
  <c r="Y195" i="64"/>
  <c r="Z195" i="64"/>
  <c r="AA195" i="64"/>
  <c r="AB195" i="64"/>
  <c r="H181" i="64"/>
  <c r="I181" i="64"/>
  <c r="J181" i="64"/>
  <c r="K181" i="64"/>
  <c r="L181" i="64"/>
  <c r="M181" i="64"/>
  <c r="N181" i="64"/>
  <c r="O181" i="64"/>
  <c r="P181" i="64"/>
  <c r="Q181" i="64"/>
  <c r="R181" i="64"/>
  <c r="S181" i="64"/>
  <c r="T181" i="64"/>
  <c r="U181" i="64"/>
  <c r="V181" i="64"/>
  <c r="W181" i="64"/>
  <c r="X181" i="64"/>
  <c r="Y181" i="64"/>
  <c r="Z181" i="64"/>
  <c r="AA181" i="64"/>
  <c r="AB181" i="64"/>
  <c r="J167" i="64"/>
  <c r="K167" i="64"/>
  <c r="L167" i="64"/>
  <c r="N167" i="64"/>
  <c r="R167" i="64"/>
  <c r="S167" i="64"/>
  <c r="W167" i="64"/>
  <c r="Z167" i="64"/>
  <c r="AB167" i="64"/>
  <c r="I163" i="64"/>
  <c r="I167" i="64" s="1"/>
  <c r="J163" i="64"/>
  <c r="K163" i="64"/>
  <c r="L163" i="64"/>
  <c r="N163" i="64"/>
  <c r="R163" i="64"/>
  <c r="S163" i="64"/>
  <c r="W163" i="64"/>
  <c r="X163" i="64"/>
  <c r="X167" i="64" s="1"/>
  <c r="Z163" i="64"/>
  <c r="AB163" i="64"/>
  <c r="I161" i="64"/>
  <c r="J161" i="64"/>
  <c r="K161" i="64"/>
  <c r="L161" i="64"/>
  <c r="M161" i="64"/>
  <c r="N161" i="64"/>
  <c r="O161" i="64"/>
  <c r="J50" i="68" s="1"/>
  <c r="P161" i="64"/>
  <c r="Q161" i="64"/>
  <c r="R161" i="64"/>
  <c r="S161" i="64"/>
  <c r="T161" i="64"/>
  <c r="U161" i="64"/>
  <c r="V161" i="64"/>
  <c r="W161" i="64"/>
  <c r="X161" i="64"/>
  <c r="Y161" i="64"/>
  <c r="Z161" i="64"/>
  <c r="AA161" i="64"/>
  <c r="AB161" i="64"/>
  <c r="I144" i="64"/>
  <c r="J144" i="64"/>
  <c r="K144" i="64"/>
  <c r="L144" i="64"/>
  <c r="M144" i="64"/>
  <c r="H50" i="68" s="1"/>
  <c r="N144" i="64"/>
  <c r="O144" i="64"/>
  <c r="P144" i="64"/>
  <c r="Q144" i="64"/>
  <c r="R144" i="64"/>
  <c r="S144" i="64"/>
  <c r="T144" i="64"/>
  <c r="U144" i="64"/>
  <c r="V144" i="64"/>
  <c r="Q50" i="68" s="1"/>
  <c r="W144" i="64"/>
  <c r="X144" i="64"/>
  <c r="Y144" i="64"/>
  <c r="Z144" i="64"/>
  <c r="AA144" i="64"/>
  <c r="V50" i="68" s="1"/>
  <c r="AB144" i="64"/>
  <c r="H121" i="64"/>
  <c r="I121" i="64"/>
  <c r="J121" i="64"/>
  <c r="K121" i="64"/>
  <c r="L121" i="64"/>
  <c r="M121" i="64"/>
  <c r="N121" i="64"/>
  <c r="O121" i="64"/>
  <c r="P121" i="64"/>
  <c r="Q121" i="64"/>
  <c r="R121" i="64"/>
  <c r="S121" i="64"/>
  <c r="T121" i="64"/>
  <c r="U121" i="64"/>
  <c r="V121" i="64"/>
  <c r="W121" i="64"/>
  <c r="X121" i="64"/>
  <c r="Y121" i="64"/>
  <c r="Z121" i="64"/>
  <c r="AA121" i="64"/>
  <c r="AB121" i="64"/>
  <c r="H106" i="64"/>
  <c r="I106" i="64"/>
  <c r="J106" i="64"/>
  <c r="K106" i="64"/>
  <c r="L106" i="64"/>
  <c r="M106" i="64"/>
  <c r="N106" i="64"/>
  <c r="O106" i="64"/>
  <c r="Q106" i="64"/>
  <c r="R106" i="64"/>
  <c r="S106" i="64"/>
  <c r="W106" i="64"/>
  <c r="X106" i="64"/>
  <c r="Z106" i="64"/>
  <c r="AB106" i="64"/>
  <c r="H103" i="64"/>
  <c r="I103" i="64"/>
  <c r="J103" i="64"/>
  <c r="K103" i="64"/>
  <c r="L103" i="64"/>
  <c r="M103" i="64"/>
  <c r="N103" i="64"/>
  <c r="O103" i="64"/>
  <c r="P103" i="64"/>
  <c r="P106" i="64" s="1"/>
  <c r="P163" i="64" s="1"/>
  <c r="P167" i="64" s="1"/>
  <c r="Q103" i="64"/>
  <c r="R103" i="64"/>
  <c r="S103" i="64"/>
  <c r="T103" i="64"/>
  <c r="T106" i="64" s="1"/>
  <c r="T163" i="64" s="1"/>
  <c r="T167" i="64" s="1"/>
  <c r="U103" i="64"/>
  <c r="U106" i="64" s="1"/>
  <c r="U163" i="64" s="1"/>
  <c r="U167" i="64" s="1"/>
  <c r="V103" i="64"/>
  <c r="V106" i="64" s="1"/>
  <c r="W103" i="64"/>
  <c r="X103" i="64"/>
  <c r="Y103" i="64"/>
  <c r="Y106" i="64" s="1"/>
  <c r="Y163" i="64" s="1"/>
  <c r="Y167" i="64" s="1"/>
  <c r="Z103" i="64"/>
  <c r="AA103" i="64"/>
  <c r="AA106" i="64" s="1"/>
  <c r="AA163" i="64" s="1"/>
  <c r="AA167" i="64" s="1"/>
  <c r="AB103" i="64"/>
  <c r="H95" i="64"/>
  <c r="I95" i="64"/>
  <c r="J95" i="64"/>
  <c r="J198" i="64" s="1"/>
  <c r="K95" i="64"/>
  <c r="K198" i="64" s="1"/>
  <c r="L95" i="64"/>
  <c r="L198" i="64" s="1"/>
  <c r="N95" i="64"/>
  <c r="N198" i="64" s="1"/>
  <c r="O95" i="64"/>
  <c r="S95" i="64"/>
  <c r="S198" i="64" s="1"/>
  <c r="X95" i="64"/>
  <c r="M95" i="64"/>
  <c r="P95" i="64"/>
  <c r="R95" i="64"/>
  <c r="T95" i="64"/>
  <c r="U95" i="64"/>
  <c r="W95" i="64"/>
  <c r="Y95" i="64"/>
  <c r="AA95" i="64"/>
  <c r="H64" i="64"/>
  <c r="I64" i="64"/>
  <c r="J64" i="64"/>
  <c r="K64" i="64"/>
  <c r="L64" i="64"/>
  <c r="M64" i="64"/>
  <c r="N64" i="64"/>
  <c r="O64" i="64"/>
  <c r="P64" i="64"/>
  <c r="Q64" i="64"/>
  <c r="Q95" i="64" s="1"/>
  <c r="R64" i="64"/>
  <c r="S64" i="64"/>
  <c r="T64" i="64"/>
  <c r="U64" i="64"/>
  <c r="V64" i="64"/>
  <c r="W64" i="64"/>
  <c r="X64" i="64"/>
  <c r="Y64" i="64"/>
  <c r="Z64" i="64"/>
  <c r="AA64" i="64"/>
  <c r="AB64" i="64"/>
  <c r="H57" i="64"/>
  <c r="I57" i="64"/>
  <c r="J57" i="64"/>
  <c r="K57" i="64"/>
  <c r="L57" i="64"/>
  <c r="M57" i="64"/>
  <c r="N57" i="64"/>
  <c r="O57" i="64"/>
  <c r="P57" i="64"/>
  <c r="Q57" i="64"/>
  <c r="R57" i="64"/>
  <c r="S57" i="64"/>
  <c r="T57" i="64"/>
  <c r="U57" i="64"/>
  <c r="V57" i="64"/>
  <c r="W57" i="64"/>
  <c r="X57" i="64"/>
  <c r="Y57" i="64"/>
  <c r="Z57" i="64"/>
  <c r="AA57" i="64"/>
  <c r="AB57" i="64"/>
  <c r="AB95" i="64" s="1"/>
  <c r="H43" i="64"/>
  <c r="I43" i="64"/>
  <c r="J43" i="64"/>
  <c r="K43" i="64"/>
  <c r="L43" i="64"/>
  <c r="M43" i="64"/>
  <c r="N43" i="64"/>
  <c r="O43" i="64"/>
  <c r="P43" i="64"/>
  <c r="Q43" i="64"/>
  <c r="R43" i="64"/>
  <c r="S43" i="64"/>
  <c r="T43" i="64"/>
  <c r="U43" i="64"/>
  <c r="V43" i="64"/>
  <c r="W43" i="64"/>
  <c r="X43" i="64"/>
  <c r="Y43" i="64"/>
  <c r="Z43" i="64"/>
  <c r="AA43" i="64"/>
  <c r="AB43" i="64"/>
  <c r="H17" i="64"/>
  <c r="I17" i="64"/>
  <c r="J17" i="64"/>
  <c r="K17" i="64"/>
  <c r="L17" i="64"/>
  <c r="M17" i="64"/>
  <c r="N17" i="64"/>
  <c r="O17" i="64"/>
  <c r="P17" i="64"/>
  <c r="Q17" i="64"/>
  <c r="R17" i="64"/>
  <c r="S17" i="64"/>
  <c r="T17" i="64"/>
  <c r="U17" i="64"/>
  <c r="V17" i="64"/>
  <c r="W17" i="64"/>
  <c r="X17" i="64"/>
  <c r="Y17" i="64"/>
  <c r="Z17" i="64"/>
  <c r="AA17" i="64"/>
  <c r="AB17" i="64"/>
  <c r="H9" i="64"/>
  <c r="I9" i="64"/>
  <c r="J9" i="64"/>
  <c r="K9" i="64"/>
  <c r="L9" i="64"/>
  <c r="M9" i="64"/>
  <c r="N9" i="64"/>
  <c r="O9" i="64"/>
  <c r="P9" i="64"/>
  <c r="Q9" i="64"/>
  <c r="R9" i="64"/>
  <c r="S9" i="64"/>
  <c r="T9" i="64"/>
  <c r="U9" i="64"/>
  <c r="V9" i="64"/>
  <c r="V91" i="64" s="1"/>
  <c r="V95" i="64" s="1"/>
  <c r="W9" i="64"/>
  <c r="X9" i="64"/>
  <c r="Y9" i="64"/>
  <c r="Z9" i="64"/>
  <c r="Z95" i="64" s="1"/>
  <c r="AA9" i="64"/>
  <c r="AB9" i="64"/>
  <c r="J254" i="64" l="1"/>
  <c r="J256" i="64" s="1"/>
  <c r="Q163" i="64"/>
  <c r="Q167" i="64" s="1"/>
  <c r="L50" i="68"/>
  <c r="Q291" i="64"/>
  <c r="V258" i="64"/>
  <c r="V259" i="64" s="1"/>
  <c r="V163" i="64"/>
  <c r="V167" i="64" s="1"/>
  <c r="V198" i="64" s="1"/>
  <c r="V256" i="64" s="1"/>
  <c r="V291" i="64"/>
  <c r="S200" i="64"/>
  <c r="N200" i="64"/>
  <c r="N202" i="64" s="1"/>
  <c r="L200" i="64"/>
  <c r="L202" i="64" s="1"/>
  <c r="S202" i="64"/>
  <c r="K200" i="64"/>
  <c r="K202" i="64" s="1"/>
  <c r="J202" i="64"/>
  <c r="J200" i="64"/>
  <c r="Q259" i="64"/>
  <c r="AB258" i="64"/>
  <c r="AB259" i="64" s="1"/>
  <c r="AB200" i="64"/>
  <c r="AB202" i="64" s="1"/>
  <c r="AB198" i="64"/>
  <c r="AA200" i="64"/>
  <c r="AA202" i="64" s="1"/>
  <c r="AA198" i="64"/>
  <c r="AA258" i="64"/>
  <c r="AA259" i="64" s="1"/>
  <c r="Z198" i="64"/>
  <c r="Z200" i="64"/>
  <c r="Z202" i="64" s="1"/>
  <c r="Z259" i="64"/>
  <c r="Y198" i="64"/>
  <c r="Y200" i="64"/>
  <c r="Y202" i="64" s="1"/>
  <c r="X291" i="64"/>
  <c r="X200" i="64"/>
  <c r="X202" i="64" s="1"/>
  <c r="X198" i="64"/>
  <c r="X258" i="64"/>
  <c r="X259" i="64" s="1"/>
  <c r="W200" i="64"/>
  <c r="W202" i="64" s="1"/>
  <c r="W198" i="64"/>
  <c r="U200" i="64"/>
  <c r="U202" i="64" s="1"/>
  <c r="U198" i="64"/>
  <c r="T200" i="64"/>
  <c r="T202" i="64" s="1"/>
  <c r="T198" i="64"/>
  <c r="T259" i="64"/>
  <c r="S258" i="64"/>
  <c r="S259" i="64" s="1"/>
  <c r="R200" i="64"/>
  <c r="R202" i="64" s="1"/>
  <c r="R198" i="64"/>
  <c r="Q200" i="64"/>
  <c r="Q202" i="64" s="1"/>
  <c r="Q198" i="64"/>
  <c r="Q256" i="64" s="1"/>
  <c r="P198" i="64"/>
  <c r="P200" i="64"/>
  <c r="P202" i="64" s="1"/>
  <c r="P258" i="64"/>
  <c r="P259" i="64" s="1"/>
  <c r="O291" i="64"/>
  <c r="O163" i="64"/>
  <c r="O167" i="64" s="1"/>
  <c r="O200" i="64" s="1"/>
  <c r="O202" i="64" s="1"/>
  <c r="O258" i="64"/>
  <c r="O259" i="64" s="1"/>
  <c r="N258" i="64"/>
  <c r="N259" i="64" s="1"/>
  <c r="M163" i="64"/>
  <c r="M167" i="64" s="1"/>
  <c r="M198" i="64" s="1"/>
  <c r="L258" i="64"/>
  <c r="L259" i="64" s="1"/>
  <c r="I200" i="64"/>
  <c r="I202" i="64" s="1"/>
  <c r="I198" i="64"/>
  <c r="H163" i="64"/>
  <c r="H167" i="64" s="1"/>
  <c r="H198" i="64" s="1"/>
  <c r="H275" i="64"/>
  <c r="H291" i="64" s="1"/>
  <c r="J258" i="64" l="1"/>
  <c r="J259" i="64" s="1"/>
  <c r="V200" i="64"/>
  <c r="V202" i="64" s="1"/>
  <c r="O198" i="64"/>
  <c r="M200" i="64"/>
  <c r="M202" i="64" s="1"/>
  <c r="H200" i="64"/>
  <c r="H202" i="64" s="1"/>
  <c r="G181" i="64" l="1"/>
  <c r="G163" i="64"/>
  <c r="G121" i="64"/>
  <c r="G106" i="64" l="1"/>
  <c r="G103" i="64"/>
  <c r="G161" i="64"/>
  <c r="G144" i="64"/>
  <c r="G95" i="64"/>
  <c r="G195" i="64"/>
  <c r="AD140" i="64"/>
  <c r="AD75" i="64"/>
  <c r="R176" i="35"/>
  <c r="Q176" i="35"/>
  <c r="Q177" i="35"/>
  <c r="R177" i="35" s="1"/>
  <c r="Q159" i="35"/>
  <c r="R159" i="35"/>
  <c r="Q160" i="35"/>
  <c r="R160" i="35"/>
  <c r="Q161" i="35"/>
  <c r="R161" i="35" s="1"/>
  <c r="I91" i="35"/>
  <c r="G264" i="64"/>
  <c r="H318" i="43"/>
  <c r="G275" i="64"/>
  <c r="G274" i="64"/>
  <c r="G277" i="64"/>
  <c r="G276" i="64"/>
  <c r="G272" i="64"/>
  <c r="G57" i="64"/>
  <c r="G64" i="64"/>
  <c r="J271" i="43"/>
  <c r="J267" i="43"/>
  <c r="I266" i="35" s="1"/>
  <c r="J266" i="43"/>
  <c r="I265" i="35" s="1"/>
  <c r="J265" i="43"/>
  <c r="I264" i="35" s="1"/>
  <c r="J263" i="43"/>
  <c r="J262" i="43"/>
  <c r="J91" i="35" l="1"/>
  <c r="K381" i="11"/>
  <c r="F19" i="11"/>
  <c r="A282" i="9" l="1"/>
  <c r="D148" i="9"/>
  <c r="L57" i="23" l="1"/>
  <c r="J57" i="23"/>
  <c r="E57" i="23"/>
  <c r="D57" i="23"/>
  <c r="C46" i="23"/>
  <c r="D46" i="23"/>
  <c r="N51" i="20"/>
  <c r="N52" i="20"/>
  <c r="K52" i="20"/>
  <c r="K53" i="20"/>
  <c r="N53" i="20" s="1"/>
  <c r="K51" i="20"/>
  <c r="B387" i="3" l="1"/>
  <c r="G52" i="26" l="1"/>
  <c r="I52" i="26"/>
  <c r="K47" i="26"/>
  <c r="K45" i="26"/>
  <c r="E53" i="25"/>
  <c r="D53" i="25"/>
  <c r="C53" i="25"/>
  <c r="M29" i="25"/>
  <c r="D29" i="25"/>
  <c r="K21" i="25"/>
  <c r="K20" i="25"/>
  <c r="C28" i="25"/>
  <c r="C29" i="25" s="1"/>
  <c r="L28" i="25"/>
  <c r="L29" i="25" s="1"/>
  <c r="K25" i="25"/>
  <c r="K24" i="25"/>
  <c r="K22" i="25"/>
  <c r="B126" i="24"/>
  <c r="B164" i="24"/>
  <c r="L46" i="23"/>
  <c r="N46" i="23"/>
  <c r="N44" i="23"/>
  <c r="N40" i="23"/>
  <c r="K40" i="23"/>
  <c r="M36" i="23"/>
  <c r="M57" i="23" s="1"/>
  <c r="N32" i="23"/>
  <c r="F26" i="23"/>
  <c r="E26" i="23"/>
  <c r="D26" i="23"/>
  <c r="D53" i="22"/>
  <c r="H30" i="48"/>
  <c r="F19" i="13"/>
  <c r="F18" i="13"/>
  <c r="B20" i="3"/>
  <c r="K28" i="25" l="1"/>
  <c r="B359" i="11"/>
  <c r="B333" i="11"/>
  <c r="H333" i="11" s="1"/>
  <c r="D331" i="11"/>
  <c r="D372" i="11" l="1"/>
  <c r="D367" i="11"/>
  <c r="D368" i="11"/>
  <c r="K211" i="11"/>
  <c r="I172" i="43"/>
  <c r="H172" i="43"/>
  <c r="D52" i="26"/>
  <c r="J188" i="43"/>
  <c r="I189" i="43"/>
  <c r="H189" i="43"/>
  <c r="I149" i="43"/>
  <c r="H149" i="43"/>
  <c r="H319" i="43"/>
  <c r="I244" i="43"/>
  <c r="H244" i="43"/>
  <c r="H223" i="43"/>
  <c r="H209" i="43"/>
  <c r="I90" i="43"/>
  <c r="H90" i="43"/>
  <c r="O95" i="15"/>
  <c r="O84" i="15"/>
  <c r="K76" i="15"/>
  <c r="J76" i="15"/>
  <c r="I76" i="15"/>
  <c r="H76" i="15"/>
  <c r="P60" i="15"/>
  <c r="P37" i="15"/>
  <c r="H37" i="15"/>
  <c r="H60" i="15" s="1"/>
  <c r="M105" i="15"/>
  <c r="O80" i="15"/>
  <c r="O79" i="15"/>
  <c r="O65" i="15"/>
  <c r="O63" i="15"/>
  <c r="N82" i="9"/>
  <c r="J383" i="9"/>
  <c r="G383" i="9"/>
  <c r="J381" i="9"/>
  <c r="G381" i="9"/>
  <c r="D381" i="9"/>
  <c r="D383" i="9" s="1"/>
  <c r="M379" i="9"/>
  <c r="J379" i="9"/>
  <c r="G379" i="9"/>
  <c r="M378" i="9"/>
  <c r="J378" i="9"/>
  <c r="G378" i="9"/>
  <c r="D367" i="9"/>
  <c r="A366" i="9"/>
  <c r="M351" i="9"/>
  <c r="M381" i="9" s="1"/>
  <c r="J351" i="9"/>
  <c r="G351" i="9"/>
  <c r="D351" i="9"/>
  <c r="M328" i="9"/>
  <c r="M340" i="9"/>
  <c r="M325" i="9"/>
  <c r="G325" i="9"/>
  <c r="D325" i="9"/>
  <c r="N257" i="9"/>
  <c r="N256" i="9"/>
  <c r="N255" i="9"/>
  <c r="D146" i="9"/>
  <c r="D145" i="9"/>
  <c r="D144" i="9"/>
  <c r="D143" i="9"/>
  <c r="D142" i="9"/>
  <c r="D139" i="9"/>
  <c r="D138" i="9"/>
  <c r="D135" i="9"/>
  <c r="D134" i="9"/>
  <c r="D132" i="9"/>
  <c r="D131" i="9"/>
  <c r="D130" i="9"/>
  <c r="D128" i="9"/>
  <c r="D127" i="9"/>
  <c r="D122" i="9"/>
  <c r="D119" i="9"/>
  <c r="D118" i="9"/>
  <c r="D117" i="9"/>
  <c r="D116" i="9"/>
  <c r="D114" i="9"/>
  <c r="D113" i="9"/>
  <c r="D112" i="9"/>
  <c r="D109" i="9"/>
  <c r="D105" i="9"/>
  <c r="D102" i="9"/>
  <c r="D97" i="9"/>
  <c r="D80" i="9"/>
  <c r="M65" i="9"/>
  <c r="M40" i="9"/>
  <c r="M53" i="9"/>
  <c r="M54" i="9"/>
  <c r="M55" i="9"/>
  <c r="M56" i="9"/>
  <c r="M58" i="9"/>
  <c r="M59" i="9"/>
  <c r="M61" i="9"/>
  <c r="M62" i="9"/>
  <c r="M63" i="9"/>
  <c r="A65" i="9"/>
  <c r="M69" i="9"/>
  <c r="M70" i="9"/>
  <c r="M71" i="9"/>
  <c r="M72" i="9"/>
  <c r="M73" i="9"/>
  <c r="M74" i="9"/>
  <c r="M75" i="9"/>
  <c r="G143" i="9" l="1"/>
  <c r="J143" i="9" s="1"/>
  <c r="G131" i="9"/>
  <c r="G118" i="9"/>
  <c r="G142" i="9"/>
  <c r="G130" i="9"/>
  <c r="G117" i="9"/>
  <c r="G141" i="9"/>
  <c r="G128" i="9"/>
  <c r="G122" i="9"/>
  <c r="G140" i="9"/>
  <c r="G127" i="9"/>
  <c r="G139" i="9"/>
  <c r="G125" i="9"/>
  <c r="G138" i="9"/>
  <c r="G124" i="9"/>
  <c r="G132" i="9"/>
  <c r="G134" i="9"/>
  <c r="G123" i="9"/>
  <c r="G144" i="9"/>
  <c r="O381" i="9"/>
  <c r="P381" i="9" s="1"/>
  <c r="M383" i="9"/>
  <c r="O79" i="9"/>
  <c r="P79" i="9" s="1"/>
  <c r="O25" i="9"/>
  <c r="P25" i="9" s="1"/>
  <c r="G145" i="9" l="1"/>
  <c r="I319" i="43"/>
  <c r="C18" i="48"/>
  <c r="G301" i="35"/>
  <c r="A501" i="3"/>
  <c r="B489" i="3"/>
  <c r="A498" i="3"/>
  <c r="A526" i="3"/>
  <c r="A535" i="3"/>
  <c r="A534" i="3"/>
  <c r="A532" i="3"/>
  <c r="B465" i="3"/>
  <c r="C391" i="3" l="1"/>
  <c r="B124" i="11"/>
  <c r="B62" i="11"/>
  <c r="B61" i="11"/>
  <c r="P47" i="11"/>
  <c r="P18" i="11"/>
  <c r="Q18" i="11" s="1"/>
  <c r="P19" i="11"/>
  <c r="Q19" i="11" s="1"/>
  <c r="P262" i="11"/>
  <c r="Q262" i="11" s="1"/>
  <c r="P261" i="11"/>
  <c r="Q261" i="11" s="1"/>
  <c r="P260" i="11"/>
  <c r="Q259" i="11"/>
  <c r="P259" i="11"/>
  <c r="B229" i="11"/>
  <c r="B230" i="11"/>
  <c r="B231" i="11" s="1"/>
  <c r="L194" i="11"/>
  <c r="K195" i="11"/>
  <c r="K196" i="11" s="1"/>
  <c r="F180" i="11"/>
  <c r="B195" i="11"/>
  <c r="B196" i="11" s="1"/>
  <c r="Q194" i="11"/>
  <c r="B63" i="11"/>
  <c r="A22" i="2"/>
  <c r="H39" i="48"/>
  <c r="D19" i="48"/>
  <c r="C19" i="48"/>
  <c r="G394" i="11"/>
  <c r="G393" i="11"/>
  <c r="K394" i="11"/>
  <c r="I411" i="11"/>
  <c r="J411" i="11"/>
  <c r="M393" i="11"/>
  <c r="Q393" i="11" s="1"/>
  <c r="K393" i="11"/>
  <c r="B411" i="11"/>
  <c r="B412" i="11"/>
  <c r="B413" i="11" s="1"/>
  <c r="B381" i="11"/>
  <c r="H381" i="11" s="1"/>
  <c r="Q381" i="11"/>
  <c r="K382" i="11"/>
  <c r="K383" i="11" s="1"/>
  <c r="B382" i="11"/>
  <c r="B383" i="11" s="1"/>
  <c r="B360" i="11"/>
  <c r="B361" i="11" s="1"/>
  <c r="L381" i="11"/>
  <c r="C381" i="11"/>
  <c r="M380" i="11"/>
  <c r="D380" i="11"/>
  <c r="M379" i="11"/>
  <c r="D379" i="11"/>
  <c r="M378" i="11"/>
  <c r="D378" i="11"/>
  <c r="M377" i="11"/>
  <c r="D377" i="11"/>
  <c r="M376" i="11"/>
  <c r="D376" i="11"/>
  <c r="M375" i="11"/>
  <c r="D375" i="11"/>
  <c r="M374" i="11"/>
  <c r="D374" i="11"/>
  <c r="M373" i="11"/>
  <c r="D373" i="11"/>
  <c r="M372" i="11"/>
  <c r="M371" i="11"/>
  <c r="D371" i="11"/>
  <c r="M370" i="11"/>
  <c r="D370" i="11"/>
  <c r="M369" i="11"/>
  <c r="D369" i="11"/>
  <c r="M368" i="11"/>
  <c r="M367" i="11"/>
  <c r="B334" i="11"/>
  <c r="B335" i="11" s="1"/>
  <c r="F271" i="11"/>
  <c r="E270" i="11"/>
  <c r="J270" i="11" s="1"/>
  <c r="E269" i="11"/>
  <c r="J269" i="11" s="1"/>
  <c r="E268" i="11"/>
  <c r="E265" i="11"/>
  <c r="E264" i="11"/>
  <c r="J264" i="11" s="1"/>
  <c r="E262" i="11"/>
  <c r="D381" i="11" l="1"/>
  <c r="E271" i="11"/>
  <c r="J268" i="11"/>
  <c r="M381" i="11"/>
  <c r="E266" i="11"/>
  <c r="J265" i="11"/>
  <c r="P266" i="11"/>
  <c r="F273" i="11"/>
  <c r="F266" i="11"/>
  <c r="F262" i="11"/>
  <c r="F367" i="11" s="1"/>
  <c r="F261" i="11"/>
  <c r="O367" i="11" s="1"/>
  <c r="F259" i="11"/>
  <c r="M187" i="11" l="1"/>
  <c r="M180" i="11"/>
  <c r="B194" i="11"/>
  <c r="H194" i="11" s="1"/>
  <c r="B173" i="11"/>
  <c r="M48" i="9"/>
  <c r="H301" i="35"/>
  <c r="I177" i="35"/>
  <c r="J177" i="35" s="1"/>
  <c r="J162" i="43"/>
  <c r="I161" i="35" s="1"/>
  <c r="J161" i="35" s="1"/>
  <c r="J178" i="43"/>
  <c r="J177" i="43"/>
  <c r="I176" i="35" s="1"/>
  <c r="J176" i="35" s="1"/>
  <c r="J161" i="43"/>
  <c r="I160" i="35" s="1"/>
  <c r="J160" i="35" s="1"/>
  <c r="I318" i="43"/>
  <c r="D144" i="11"/>
  <c r="C146" i="11"/>
  <c r="B146" i="11"/>
  <c r="H146" i="11" s="1"/>
  <c r="B311" i="11"/>
  <c r="D180" i="11"/>
  <c r="D185" i="11"/>
  <c r="C194" i="11"/>
  <c r="M193" i="11"/>
  <c r="D193" i="11"/>
  <c r="M192" i="11"/>
  <c r="D192" i="11"/>
  <c r="M191" i="11"/>
  <c r="D191" i="11"/>
  <c r="M190" i="11"/>
  <c r="D190" i="11"/>
  <c r="M189" i="11"/>
  <c r="D189" i="11"/>
  <c r="M188" i="11"/>
  <c r="D188" i="11"/>
  <c r="D187" i="11"/>
  <c r="M186" i="11"/>
  <c r="D186" i="11"/>
  <c r="M185" i="11"/>
  <c r="M184" i="11"/>
  <c r="D184" i="11"/>
  <c r="M183" i="11"/>
  <c r="D183" i="11"/>
  <c r="M182" i="11"/>
  <c r="D182" i="11"/>
  <c r="M181" i="11"/>
  <c r="D181" i="11"/>
  <c r="B80" i="11"/>
  <c r="B79" i="11"/>
  <c r="B78" i="11"/>
  <c r="B77" i="11"/>
  <c r="B76" i="11"/>
  <c r="B75" i="11"/>
  <c r="B74" i="11"/>
  <c r="B65" i="11"/>
  <c r="B60" i="11"/>
  <c r="M194" i="11" l="1"/>
  <c r="I301" i="35"/>
  <c r="J301" i="35"/>
  <c r="J318" i="43"/>
  <c r="D194" i="11"/>
  <c r="Y17" i="68" l="1"/>
  <c r="B44" i="68"/>
  <c r="B23" i="11" l="1"/>
  <c r="B44" i="11" s="1"/>
  <c r="M376" i="9"/>
  <c r="M366" i="9"/>
  <c r="J367" i="9"/>
  <c r="G367" i="9"/>
  <c r="M349" i="9"/>
  <c r="M348" i="9"/>
  <c r="J117" i="9"/>
  <c r="A116" i="9"/>
  <c r="M49" i="9"/>
  <c r="M43" i="9" l="1"/>
  <c r="M47" i="9"/>
  <c r="M19" i="9"/>
  <c r="M377" i="9"/>
  <c r="A134" i="9" l="1"/>
  <c r="AD89" i="64"/>
  <c r="D141" i="9"/>
  <c r="D140" i="9"/>
  <c r="M45" i="9"/>
  <c r="M44" i="9"/>
  <c r="M42" i="9"/>
  <c r="D111" i="9"/>
  <c r="C20" i="48"/>
  <c r="D20" i="48"/>
  <c r="J319" i="43"/>
  <c r="J160" i="43"/>
  <c r="I159" i="35" s="1"/>
  <c r="J159" i="35" s="1"/>
  <c r="I302" i="35"/>
  <c r="H302" i="35"/>
  <c r="Q175" i="35"/>
  <c r="J302" i="35"/>
  <c r="AD158" i="64" l="1"/>
  <c r="AD157" i="64"/>
  <c r="AD156" i="64"/>
  <c r="AD141" i="64"/>
  <c r="B36" i="68" l="1"/>
  <c r="B52" i="68" l="1"/>
  <c r="AD20" i="64" l="1"/>
  <c r="G64" i="65" l="1"/>
  <c r="G57" i="65"/>
  <c r="G43" i="65"/>
  <c r="G17" i="65"/>
  <c r="G281" i="64" l="1"/>
  <c r="G280" i="64"/>
  <c r="G279" i="64"/>
  <c r="AD279" i="64" l="1"/>
  <c r="AA26" i="66"/>
  <c r="AD26" i="66" s="1"/>
  <c r="AC59" i="66"/>
  <c r="AA58" i="66"/>
  <c r="AD58" i="66" s="1"/>
  <c r="AA52" i="66"/>
  <c r="AD52" i="66" s="1"/>
  <c r="AA53" i="66"/>
  <c r="AD53" i="66" s="1"/>
  <c r="AA54" i="66"/>
  <c r="AD54" i="66" s="1"/>
  <c r="AA55" i="66"/>
  <c r="AD55" i="66" s="1"/>
  <c r="AA56" i="66"/>
  <c r="AD56" i="66" s="1"/>
  <c r="AD24" i="66"/>
  <c r="AD30" i="66"/>
  <c r="AA25" i="66"/>
  <c r="AD25" i="66" s="1"/>
  <c r="AA27" i="66"/>
  <c r="AD27" i="66" s="1"/>
  <c r="AA28" i="66"/>
  <c r="AD28" i="66" s="1"/>
  <c r="AA29" i="66"/>
  <c r="AD29" i="66" s="1"/>
  <c r="AA32" i="66"/>
  <c r="AD32" i="66" s="1"/>
  <c r="AA59" i="66" l="1"/>
  <c r="AD59" i="66" s="1"/>
  <c r="D89" i="66" l="1"/>
  <c r="D104" i="66" l="1"/>
  <c r="AA33" i="66"/>
  <c r="AD33" i="66" s="1"/>
  <c r="AD274" i="64" l="1"/>
  <c r="AD277" i="64"/>
  <c r="AD198" i="64" l="1"/>
  <c r="AA61" i="66" l="1"/>
  <c r="G226" i="65"/>
  <c r="G43" i="64" l="1"/>
  <c r="AD22" i="64"/>
  <c r="AD21" i="64"/>
  <c r="G9" i="64"/>
  <c r="G271" i="64"/>
  <c r="M324" i="9"/>
  <c r="M322" i="9"/>
  <c r="M321" i="9"/>
  <c r="M319" i="9"/>
  <c r="M318" i="9"/>
  <c r="M22" i="9"/>
  <c r="M21" i="9"/>
  <c r="M25" i="9" s="1"/>
  <c r="H145" i="11" l="1"/>
  <c r="H332" i="11" l="1"/>
  <c r="B147" i="11" l="1"/>
  <c r="B148" i="11" s="1"/>
  <c r="M401" i="11" l="1"/>
  <c r="I35" i="43" l="1"/>
  <c r="I69" i="43"/>
  <c r="H69" i="43"/>
  <c r="I83" i="43"/>
  <c r="H83" i="43"/>
  <c r="H324" i="43"/>
  <c r="H316" i="43"/>
  <c r="H317" i="43"/>
  <c r="H311" i="43"/>
  <c r="G120" i="15" l="1"/>
  <c r="G139" i="15"/>
  <c r="G160" i="15"/>
  <c r="C51" i="49"/>
  <c r="C20" i="49"/>
  <c r="L51" i="49" l="1"/>
  <c r="E51" i="49" l="1"/>
  <c r="K50" i="26" l="1"/>
  <c r="K46" i="25"/>
  <c r="K45" i="25"/>
  <c r="D25" i="48" l="1"/>
  <c r="C25" i="48"/>
  <c r="B175" i="11" l="1"/>
  <c r="A310" i="11"/>
  <c r="D344" i="11"/>
  <c r="C359" i="11"/>
  <c r="C333" i="11"/>
  <c r="F275" i="11" l="1"/>
  <c r="F344" i="11" s="1"/>
  <c r="E275" i="11"/>
  <c r="B125" i="11" l="1"/>
  <c r="B126" i="11" s="1"/>
  <c r="C124" i="11"/>
  <c r="A340" i="9"/>
  <c r="C24" i="16"/>
  <c r="J113" i="16"/>
  <c r="G69" i="16"/>
  <c r="J283" i="43" l="1"/>
  <c r="I281" i="43"/>
  <c r="H130" i="43"/>
  <c r="H133" i="43" s="1"/>
  <c r="H191" i="43" s="1"/>
  <c r="H195" i="43" s="1"/>
  <c r="J46" i="43"/>
  <c r="J40" i="43"/>
  <c r="I43" i="43"/>
  <c r="G107" i="15"/>
  <c r="G307" i="35"/>
  <c r="G300" i="35"/>
  <c r="G299" i="35"/>
  <c r="E278" i="35"/>
  <c r="G280" i="35"/>
  <c r="G243" i="35"/>
  <c r="G188" i="35"/>
  <c r="G171" i="35"/>
  <c r="G148" i="35"/>
  <c r="G43" i="35"/>
  <c r="G117" i="35" s="1"/>
  <c r="G121" i="35" s="1"/>
  <c r="G69" i="35"/>
  <c r="G90" i="35"/>
  <c r="G83" i="35"/>
  <c r="G129" i="35"/>
  <c r="G281" i="35" l="1"/>
  <c r="G285" i="35" s="1"/>
  <c r="H288" i="43"/>
  <c r="H227" i="43"/>
  <c r="G132" i="35"/>
  <c r="G190" i="35" s="1"/>
  <c r="B286" i="11" l="1"/>
  <c r="R102" i="25"/>
  <c r="K44" i="23"/>
  <c r="K37" i="26"/>
  <c r="J33" i="26"/>
  <c r="I33" i="26"/>
  <c r="H33" i="26"/>
  <c r="G33" i="26"/>
  <c r="F33" i="26"/>
  <c r="E33" i="26"/>
  <c r="D33" i="26"/>
  <c r="C33" i="26"/>
  <c r="K32" i="26"/>
  <c r="K31" i="26"/>
  <c r="K30" i="26"/>
  <c r="K29" i="26"/>
  <c r="K28" i="26"/>
  <c r="K27" i="26"/>
  <c r="K33" i="26" l="1"/>
  <c r="M91" i="25"/>
  <c r="C91" i="25"/>
  <c r="C87" i="25"/>
  <c r="C71" i="25"/>
  <c r="C73" i="25" s="1"/>
  <c r="L91" i="25"/>
  <c r="J91" i="25"/>
  <c r="I91" i="25"/>
  <c r="H91" i="25"/>
  <c r="G91" i="25"/>
  <c r="F91" i="25"/>
  <c r="E91" i="25"/>
  <c r="D91" i="25"/>
  <c r="K90" i="25"/>
  <c r="N90" i="25" s="1"/>
  <c r="K89" i="25"/>
  <c r="N89" i="25" s="1"/>
  <c r="M87" i="25"/>
  <c r="L87" i="25"/>
  <c r="J87" i="25"/>
  <c r="I87" i="25"/>
  <c r="H87" i="25"/>
  <c r="G87" i="25"/>
  <c r="F87" i="25"/>
  <c r="E87" i="25"/>
  <c r="D87" i="25"/>
  <c r="K86" i="25"/>
  <c r="N86" i="25" s="1"/>
  <c r="K85" i="25"/>
  <c r="N85" i="25" s="1"/>
  <c r="K72" i="25"/>
  <c r="N72" i="25" s="1"/>
  <c r="M71" i="25"/>
  <c r="M75" i="25" s="1"/>
  <c r="M76" i="25" s="1"/>
  <c r="L71" i="25"/>
  <c r="L75" i="25" s="1"/>
  <c r="L76" i="25" s="1"/>
  <c r="J71" i="25"/>
  <c r="J75" i="25" s="1"/>
  <c r="J76" i="25" s="1"/>
  <c r="I71" i="25"/>
  <c r="I75" i="25" s="1"/>
  <c r="I76" i="25" s="1"/>
  <c r="H71" i="25"/>
  <c r="G71" i="25"/>
  <c r="G73" i="25" s="1"/>
  <c r="F71" i="25"/>
  <c r="F75" i="25" s="1"/>
  <c r="F76" i="25" s="1"/>
  <c r="E71" i="25"/>
  <c r="E73" i="25" s="1"/>
  <c r="D71" i="25"/>
  <c r="D75" i="25" s="1"/>
  <c r="D76" i="25" s="1"/>
  <c r="K70" i="25"/>
  <c r="N70" i="25" s="1"/>
  <c r="K69" i="25"/>
  <c r="N69" i="25" s="1"/>
  <c r="K68" i="25"/>
  <c r="N68" i="25" s="1"/>
  <c r="K67" i="25"/>
  <c r="N67" i="25" s="1"/>
  <c r="K66" i="25"/>
  <c r="N66" i="25" s="1"/>
  <c r="K65" i="25"/>
  <c r="N65" i="25" s="1"/>
  <c r="N23" i="23"/>
  <c r="M24" i="23"/>
  <c r="L24" i="23"/>
  <c r="K23" i="23"/>
  <c r="K21" i="23"/>
  <c r="D24" i="23"/>
  <c r="E24" i="23"/>
  <c r="F24" i="23"/>
  <c r="G24" i="23"/>
  <c r="H24" i="23"/>
  <c r="I24" i="23"/>
  <c r="J24" i="23"/>
  <c r="D27" i="23"/>
  <c r="M26" i="23"/>
  <c r="M27" i="23" s="1"/>
  <c r="L26" i="23"/>
  <c r="L27" i="23" s="1"/>
  <c r="J26" i="23"/>
  <c r="J27" i="23" s="1"/>
  <c r="I26" i="23"/>
  <c r="I27" i="23" s="1"/>
  <c r="H26" i="23"/>
  <c r="H27" i="23" s="1"/>
  <c r="G26" i="23"/>
  <c r="G27" i="23" s="1"/>
  <c r="F27" i="23"/>
  <c r="E27" i="23"/>
  <c r="K22" i="23"/>
  <c r="N22" i="23" s="1"/>
  <c r="K20" i="23"/>
  <c r="N20" i="23" s="1"/>
  <c r="K29" i="23"/>
  <c r="K30" i="23"/>
  <c r="N30" i="23" s="1"/>
  <c r="K31" i="23"/>
  <c r="N31" i="23" s="1"/>
  <c r="K32" i="23"/>
  <c r="K34" i="23"/>
  <c r="N34" i="23" s="1"/>
  <c r="K35" i="23"/>
  <c r="N35" i="23" s="1"/>
  <c r="N26" i="23" l="1"/>
  <c r="N29" i="23"/>
  <c r="N36" i="23" s="1"/>
  <c r="F73" i="25"/>
  <c r="F93" i="25" s="1"/>
  <c r="F95" i="25" s="1"/>
  <c r="N91" i="25"/>
  <c r="C75" i="25"/>
  <c r="C76" i="25" s="1"/>
  <c r="D73" i="25"/>
  <c r="D93" i="25" s="1"/>
  <c r="D95" i="25" s="1"/>
  <c r="J73" i="25"/>
  <c r="J93" i="25" s="1"/>
  <c r="J95" i="25" s="1"/>
  <c r="L73" i="25"/>
  <c r="K87" i="25"/>
  <c r="I73" i="25"/>
  <c r="I93" i="25" s="1"/>
  <c r="I95" i="25" s="1"/>
  <c r="M73" i="25"/>
  <c r="H73" i="25"/>
  <c r="H93" i="25" s="1"/>
  <c r="H95" i="25" s="1"/>
  <c r="E93" i="25"/>
  <c r="E95" i="25" s="1"/>
  <c r="G93" i="25"/>
  <c r="G95" i="25" s="1"/>
  <c r="E75" i="25"/>
  <c r="E76" i="25" s="1"/>
  <c r="K91" i="25"/>
  <c r="N87" i="25"/>
  <c r="H75" i="25"/>
  <c r="H76" i="25" s="1"/>
  <c r="N71" i="25"/>
  <c r="C93" i="25"/>
  <c r="C95" i="25" s="1"/>
  <c r="G75" i="25"/>
  <c r="G76" i="25" s="1"/>
  <c r="K71" i="25"/>
  <c r="K73" i="25" s="1"/>
  <c r="N21" i="23"/>
  <c r="C59" i="23"/>
  <c r="C60" i="23" s="1"/>
  <c r="K26" i="23"/>
  <c r="H79" i="25" l="1"/>
  <c r="K75" i="25"/>
  <c r="K76" i="25" s="1"/>
  <c r="H77" i="25"/>
  <c r="N75" i="25"/>
  <c r="D354" i="11" l="1"/>
  <c r="D296" i="11"/>
  <c r="D357" i="11"/>
  <c r="D356" i="11"/>
  <c r="D355" i="11"/>
  <c r="D353" i="11"/>
  <c r="D352" i="11"/>
  <c r="D351" i="11"/>
  <c r="D350" i="11"/>
  <c r="D349" i="11"/>
  <c r="D348" i="11"/>
  <c r="D347" i="11"/>
  <c r="D346" i="11"/>
  <c r="D345" i="11"/>
  <c r="D330" i="11"/>
  <c r="D329" i="11"/>
  <c r="D328" i="11"/>
  <c r="D327" i="11"/>
  <c r="D326" i="11"/>
  <c r="D325" i="11"/>
  <c r="D324" i="11"/>
  <c r="D323" i="11"/>
  <c r="D322" i="11"/>
  <c r="D321" i="11"/>
  <c r="D320" i="11"/>
  <c r="D319" i="11"/>
  <c r="D318" i="11"/>
  <c r="D333" i="11" l="1"/>
  <c r="D359" i="11"/>
  <c r="E23" i="49"/>
  <c r="D22" i="49"/>
  <c r="D18" i="48"/>
  <c r="A23" i="2"/>
  <c r="E4" i="16"/>
  <c r="J143" i="16"/>
  <c r="H80" i="42"/>
  <c r="H18" i="42"/>
  <c r="P279" i="11" l="1"/>
  <c r="P278" i="11"/>
  <c r="P277" i="11"/>
  <c r="P276" i="11"/>
  <c r="Q276" i="11" s="1"/>
  <c r="P275" i="11"/>
  <c r="Q275" i="11" s="1"/>
  <c r="P274" i="11"/>
  <c r="P273" i="11"/>
  <c r="D158" i="11"/>
  <c r="D159" i="11"/>
  <c r="D160" i="11"/>
  <c r="D161" i="11"/>
  <c r="D162" i="11"/>
  <c r="D163" i="11"/>
  <c r="D164" i="11"/>
  <c r="D165" i="11"/>
  <c r="D166" i="11"/>
  <c r="D167" i="11"/>
  <c r="D168" i="11"/>
  <c r="D169" i="11"/>
  <c r="D170" i="11"/>
  <c r="D171" i="11"/>
  <c r="C173" i="11"/>
  <c r="D143" i="11"/>
  <c r="D142" i="11"/>
  <c r="D141" i="11"/>
  <c r="D140" i="11"/>
  <c r="D139" i="11"/>
  <c r="D138" i="11"/>
  <c r="D137" i="11"/>
  <c r="D136" i="11"/>
  <c r="D135" i="11"/>
  <c r="D134" i="11"/>
  <c r="D133" i="11"/>
  <c r="D132" i="11"/>
  <c r="D131" i="11"/>
  <c r="D146" i="11" l="1"/>
  <c r="D173" i="11"/>
  <c r="P35" i="11" l="1"/>
  <c r="Q35" i="11" s="1"/>
  <c r="P34" i="11"/>
  <c r="Q34" i="11" s="1"/>
  <c r="P33" i="11"/>
  <c r="Q33" i="11" s="1"/>
  <c r="P32" i="11"/>
  <c r="Q32" i="11" s="1"/>
  <c r="P31" i="11"/>
  <c r="P17" i="11"/>
  <c r="B271" i="11" l="1"/>
  <c r="B287" i="11" s="1"/>
  <c r="J167" i="43"/>
  <c r="J52" i="26" l="1"/>
  <c r="F32" i="11"/>
  <c r="F158" i="11" s="1"/>
  <c r="E32" i="11"/>
  <c r="H307" i="35" l="1"/>
  <c r="I182" i="35"/>
  <c r="I166" i="35"/>
  <c r="J166" i="35" s="1"/>
  <c r="I324" i="43"/>
  <c r="H323" i="43"/>
  <c r="J183" i="43"/>
  <c r="J324" i="43" s="1"/>
  <c r="J176" i="43"/>
  <c r="J159" i="43"/>
  <c r="J116" i="43"/>
  <c r="O58" i="15"/>
  <c r="O50" i="15"/>
  <c r="M371" i="9"/>
  <c r="M372" i="9"/>
  <c r="M355" i="9"/>
  <c r="M375" i="9"/>
  <c r="M374" i="9"/>
  <c r="M373" i="9"/>
  <c r="M344" i="9"/>
  <c r="M345" i="9"/>
  <c r="M346" i="9"/>
  <c r="M343" i="9"/>
  <c r="J182" i="35"/>
  <c r="Q58" i="15" l="1"/>
  <c r="H115" i="35" s="1"/>
  <c r="N57" i="23" s="1"/>
  <c r="K57" i="23"/>
  <c r="J307" i="35"/>
  <c r="I307" i="35"/>
  <c r="Q50" i="15"/>
  <c r="H101" i="35" s="1"/>
  <c r="N24" i="23" s="1"/>
  <c r="K24" i="23"/>
  <c r="K27" i="23"/>
  <c r="N27" i="23" l="1"/>
  <c r="G140" i="65" l="1"/>
  <c r="G250" i="65"/>
  <c r="AA15" i="66" l="1"/>
  <c r="AA14" i="66"/>
  <c r="AD14" i="66" s="1"/>
  <c r="A213" i="11" l="1"/>
  <c r="A212" i="11"/>
  <c r="A214" i="11"/>
  <c r="A215" i="11"/>
  <c r="A216" i="11"/>
  <c r="A217" i="11"/>
  <c r="A218" i="11"/>
  <c r="A219" i="11"/>
  <c r="A220" i="11"/>
  <c r="A221" i="11"/>
  <c r="A222" i="11"/>
  <c r="A223" i="11"/>
  <c r="A224" i="11"/>
  <c r="AA3" i="66" l="1"/>
  <c r="AD3" i="66" l="1"/>
  <c r="AD223" i="64" l="1"/>
  <c r="AD27" i="64"/>
  <c r="AD25" i="64"/>
  <c r="AD226" i="64"/>
  <c r="AD222" i="64"/>
  <c r="AD26" i="64"/>
  <c r="AD24" i="64" l="1"/>
  <c r="C47" i="49"/>
  <c r="Q102" i="25" l="1"/>
  <c r="R41" i="25"/>
  <c r="Q41" i="25"/>
  <c r="R20" i="25"/>
  <c r="Q20" i="25"/>
  <c r="D90" i="42" l="1"/>
  <c r="D89" i="42"/>
  <c r="D88" i="42"/>
  <c r="D87" i="42"/>
  <c r="C70" i="20" l="1"/>
  <c r="F43" i="11" l="1"/>
  <c r="J80" i="9" l="1"/>
  <c r="AD280" i="64"/>
  <c r="AD278" i="64"/>
  <c r="AD276" i="64"/>
  <c r="F44" i="42"/>
  <c r="AD275" i="64" l="1"/>
  <c r="AD272" i="64"/>
  <c r="B41" i="68" l="1"/>
  <c r="B40" i="68"/>
  <c r="AA6" i="66" l="1"/>
  <c r="AA5" i="66"/>
  <c r="AA4" i="66"/>
  <c r="B49" i="68" l="1"/>
  <c r="B48" i="68"/>
  <c r="B46" i="68"/>
  <c r="B43" i="68"/>
  <c r="B42" i="68"/>
  <c r="B37" i="68"/>
  <c r="N394" i="11" l="1"/>
  <c r="N395" i="11"/>
  <c r="N396" i="11"/>
  <c r="N397" i="11"/>
  <c r="N398" i="11"/>
  <c r="N399" i="11"/>
  <c r="N400" i="11"/>
  <c r="N401" i="11"/>
  <c r="N402" i="11"/>
  <c r="N403" i="11"/>
  <c r="N404" i="11"/>
  <c r="N405" i="11"/>
  <c r="N406" i="11"/>
  <c r="N407" i="11"/>
  <c r="N408" i="11"/>
  <c r="N409" i="11"/>
  <c r="N410" i="11"/>
  <c r="M394" i="11"/>
  <c r="M395" i="11"/>
  <c r="M396" i="11"/>
  <c r="M397" i="11"/>
  <c r="M398" i="11"/>
  <c r="M399" i="11"/>
  <c r="M400" i="11"/>
  <c r="M402" i="11"/>
  <c r="M403" i="11"/>
  <c r="M404" i="11"/>
  <c r="M405" i="11"/>
  <c r="M406" i="11"/>
  <c r="M407" i="11"/>
  <c r="M408" i="11"/>
  <c r="M409" i="11"/>
  <c r="M410" i="11"/>
  <c r="N212" i="11"/>
  <c r="N213" i="11"/>
  <c r="N214" i="11"/>
  <c r="N215" i="11"/>
  <c r="N216" i="11"/>
  <c r="N217" i="11"/>
  <c r="N218" i="11"/>
  <c r="N219" i="11"/>
  <c r="N220" i="11"/>
  <c r="N221" i="11"/>
  <c r="N222" i="11"/>
  <c r="N223" i="11"/>
  <c r="N224" i="11"/>
  <c r="N225" i="11"/>
  <c r="N226" i="11"/>
  <c r="N227" i="11"/>
  <c r="N228" i="11"/>
  <c r="M212" i="11"/>
  <c r="M213" i="11"/>
  <c r="M214" i="11"/>
  <c r="M215" i="11"/>
  <c r="M216" i="11"/>
  <c r="M217" i="11"/>
  <c r="M218" i="11"/>
  <c r="M219" i="11"/>
  <c r="M220" i="11"/>
  <c r="M221" i="11"/>
  <c r="M222" i="11"/>
  <c r="M223" i="11"/>
  <c r="M224" i="11"/>
  <c r="M225" i="11"/>
  <c r="M226" i="11"/>
  <c r="M227" i="11"/>
  <c r="M228" i="11"/>
  <c r="M211" i="11"/>
  <c r="Q211" i="11" l="1"/>
  <c r="M230" i="11"/>
  <c r="M231" i="11" s="1"/>
  <c r="O394" i="11"/>
  <c r="M411" i="11"/>
  <c r="M412" i="11"/>
  <c r="AD256" i="64"/>
  <c r="AD229" i="65"/>
  <c r="B477" i="3" l="1"/>
  <c r="B467" i="3"/>
  <c r="B439" i="3"/>
  <c r="B430" i="3"/>
  <c r="Y20" i="68" l="1"/>
  <c r="G282" i="64"/>
  <c r="D47" i="49" l="1"/>
  <c r="E47" i="49"/>
  <c r="F47" i="49"/>
  <c r="G47" i="49"/>
  <c r="H47" i="49"/>
  <c r="I47" i="49"/>
  <c r="J47" i="49"/>
  <c r="E4" i="15" l="1"/>
  <c r="E5" i="15"/>
  <c r="E6" i="15"/>
  <c r="E3" i="15"/>
  <c r="E1" i="15" l="1"/>
  <c r="E2" i="35"/>
  <c r="F28" i="11" l="1"/>
  <c r="M243" i="9"/>
  <c r="H228" i="43"/>
  <c r="H289" i="43" s="1"/>
  <c r="N292" i="9" l="1"/>
  <c r="D6" i="42"/>
  <c r="N393" i="11" l="1"/>
  <c r="O393" i="11" s="1"/>
  <c r="K398" i="11"/>
  <c r="I412" i="11"/>
  <c r="I413" i="11" s="1"/>
  <c r="K410" i="11"/>
  <c r="K409" i="11"/>
  <c r="K408" i="11"/>
  <c r="K407" i="11"/>
  <c r="K406" i="11"/>
  <c r="K405" i="11"/>
  <c r="K404" i="11"/>
  <c r="K403" i="11"/>
  <c r="K402" i="11"/>
  <c r="K401" i="11"/>
  <c r="K400" i="11"/>
  <c r="K399" i="11"/>
  <c r="K397" i="11"/>
  <c r="K396" i="11"/>
  <c r="K395" i="11"/>
  <c r="Q278" i="11"/>
  <c r="E278" i="11"/>
  <c r="F278" i="11"/>
  <c r="I230" i="11"/>
  <c r="I231" i="11" s="1"/>
  <c r="O215" i="11"/>
  <c r="O223" i="11"/>
  <c r="K212" i="11"/>
  <c r="K213" i="11"/>
  <c r="K214" i="11"/>
  <c r="K215" i="11"/>
  <c r="K216" i="11"/>
  <c r="K217" i="11"/>
  <c r="K218" i="11"/>
  <c r="K219" i="11"/>
  <c r="K220" i="11"/>
  <c r="K221" i="11"/>
  <c r="K222" i="11"/>
  <c r="K223" i="11"/>
  <c r="K224" i="11"/>
  <c r="K225" i="11"/>
  <c r="K226" i="11"/>
  <c r="K227" i="11"/>
  <c r="O227" i="11" s="1"/>
  <c r="K228" i="11"/>
  <c r="N211" i="11"/>
  <c r="J229" i="11"/>
  <c r="E35" i="11"/>
  <c r="F35" i="11"/>
  <c r="K411" i="11" l="1"/>
  <c r="O211" i="11"/>
  <c r="N229" i="11"/>
  <c r="K229" i="11"/>
  <c r="O217" i="11"/>
  <c r="O213" i="11"/>
  <c r="O225" i="11"/>
  <c r="O221" i="11"/>
  <c r="O219" i="11"/>
  <c r="O395" i="11"/>
  <c r="O399" i="11"/>
  <c r="O403" i="11"/>
  <c r="O407" i="11"/>
  <c r="O396" i="11"/>
  <c r="O400" i="11"/>
  <c r="O404" i="11"/>
  <c r="O408" i="11"/>
  <c r="O397" i="11"/>
  <c r="O401" i="11"/>
  <c r="O405" i="11"/>
  <c r="O409" i="11"/>
  <c r="O398" i="11"/>
  <c r="O402" i="11"/>
  <c r="O406" i="11"/>
  <c r="O410" i="11"/>
  <c r="O228" i="11"/>
  <c r="O224" i="11"/>
  <c r="O220" i="11"/>
  <c r="O216" i="11"/>
  <c r="O212" i="11"/>
  <c r="O226" i="11"/>
  <c r="O222" i="11"/>
  <c r="O218" i="11"/>
  <c r="N411" i="11" l="1"/>
  <c r="O411" i="11"/>
  <c r="O214" i="11"/>
  <c r="O229" i="11" s="1"/>
  <c r="R185" i="35"/>
  <c r="Q168" i="35"/>
  <c r="G310" i="35"/>
  <c r="H310" i="35"/>
  <c r="H327" i="43"/>
  <c r="I327" i="43"/>
  <c r="I326" i="43"/>
  <c r="J186" i="43"/>
  <c r="I185" i="35" s="1"/>
  <c r="J185" i="35" s="1"/>
  <c r="J169" i="43"/>
  <c r="I168" i="35" s="1"/>
  <c r="J168" i="35" s="1"/>
  <c r="R168" i="35" l="1"/>
  <c r="I310" i="35"/>
  <c r="J310" i="35"/>
  <c r="J327" i="43"/>
  <c r="Y21" i="68" l="1"/>
  <c r="Y19" i="68"/>
  <c r="Y18" i="68"/>
  <c r="Y10" i="68"/>
  <c r="Y7" i="68"/>
  <c r="Y6" i="68"/>
  <c r="B47" i="68" l="1"/>
  <c r="AD4" i="66" l="1"/>
  <c r="AD282" i="64" l="1"/>
  <c r="G309" i="35" l="1"/>
  <c r="H326" i="43"/>
  <c r="F277" i="11" l="1"/>
  <c r="E277" i="11"/>
  <c r="F34" i="11"/>
  <c r="E34" i="11"/>
  <c r="A240" i="9" l="1"/>
  <c r="M246" i="9" l="1"/>
  <c r="M250" i="9" l="1"/>
  <c r="E83" i="42" l="1"/>
  <c r="E91" i="42" s="1"/>
  <c r="D67" i="42"/>
  <c r="E92" i="42" l="1"/>
  <c r="E93" i="42"/>
  <c r="E94" i="42"/>
  <c r="J168" i="43" l="1"/>
  <c r="Q167" i="35"/>
  <c r="R167" i="35" l="1"/>
  <c r="I167" i="35"/>
  <c r="J167" i="35" s="1"/>
  <c r="F25" i="13" l="1"/>
  <c r="F24" i="13"/>
  <c r="F23" i="13"/>
  <c r="F22" i="13"/>
  <c r="F21" i="13"/>
  <c r="F20" i="13"/>
  <c r="A522" i="3"/>
  <c r="A516" i="3"/>
  <c r="A494" i="3" l="1"/>
  <c r="B174" i="3" l="1"/>
  <c r="A178" i="3" s="1"/>
  <c r="J144" i="16" l="1"/>
  <c r="J145" i="16" s="1"/>
  <c r="J114" i="16"/>
  <c r="J115" i="16" s="1"/>
  <c r="C462" i="3" l="1"/>
  <c r="C463" i="3"/>
  <c r="C464" i="3"/>
  <c r="E53" i="42" l="1"/>
  <c r="C50" i="25" l="1"/>
  <c r="C3" i="20" l="1"/>
  <c r="A301" i="3" l="1"/>
  <c r="C3" i="23" l="1"/>
  <c r="B323" i="3"/>
  <c r="A325" i="3"/>
  <c r="B316" i="3"/>
  <c r="N262" i="3"/>
  <c r="B241" i="3"/>
  <c r="C242" i="3" s="1"/>
  <c r="B233" i="3"/>
  <c r="B287" i="3"/>
  <c r="B288" i="3" s="1"/>
  <c r="B289" i="3" s="1"/>
  <c r="B290" i="3" l="1"/>
  <c r="A293" i="3"/>
  <c r="B235" i="3"/>
  <c r="B237" i="3" s="1"/>
  <c r="B204" i="3"/>
  <c r="D6" i="24" l="1"/>
  <c r="B314" i="3" l="1"/>
  <c r="B315" i="3" l="1"/>
  <c r="B317" i="3" s="1"/>
  <c r="H57" i="11" l="1"/>
  <c r="C87" i="11" s="1"/>
  <c r="K23" i="35"/>
  <c r="K263" i="35" s="1"/>
  <c r="A282" i="3"/>
  <c r="C80" i="11" l="1"/>
  <c r="C78" i="11"/>
  <c r="C77" i="11"/>
  <c r="C65" i="11"/>
  <c r="C75" i="11"/>
  <c r="C90" i="11"/>
  <c r="C71" i="11"/>
  <c r="C70" i="11"/>
  <c r="C69" i="11"/>
  <c r="C76" i="11"/>
  <c r="C63" i="11"/>
  <c r="D63" i="11" s="1"/>
  <c r="C62" i="11"/>
  <c r="D62" i="11" s="1"/>
  <c r="C66" i="11"/>
  <c r="C74" i="11"/>
  <c r="C79" i="11"/>
  <c r="D79" i="11" s="1"/>
  <c r="C60" i="11"/>
  <c r="P282" i="35"/>
  <c r="K282" i="35"/>
  <c r="L282" i="35" s="1"/>
  <c r="M282" i="35" s="1"/>
  <c r="K224" i="35"/>
  <c r="P92" i="35"/>
  <c r="K273" i="35"/>
  <c r="K256" i="35"/>
  <c r="K237" i="35"/>
  <c r="P186" i="35"/>
  <c r="K181" i="35"/>
  <c r="K167" i="35"/>
  <c r="L167" i="35" s="1"/>
  <c r="K159" i="35"/>
  <c r="L159" i="35" s="1"/>
  <c r="K235" i="35"/>
  <c r="K253" i="35"/>
  <c r="K187" i="35"/>
  <c r="K165" i="35"/>
  <c r="K250" i="35"/>
  <c r="K186" i="35"/>
  <c r="K261" i="35"/>
  <c r="K185" i="35"/>
  <c r="L185" i="35" s="1"/>
  <c r="K265" i="35"/>
  <c r="L265" i="35" s="1"/>
  <c r="K207" i="35"/>
  <c r="L207" i="35" s="1"/>
  <c r="M207" i="35" s="1"/>
  <c r="K91" i="35"/>
  <c r="L91" i="35" s="1"/>
  <c r="C37" i="53" s="1"/>
  <c r="P271" i="35"/>
  <c r="P262" i="35"/>
  <c r="K254" i="35"/>
  <c r="K236" i="35"/>
  <c r="P174" i="35"/>
  <c r="K180" i="35"/>
  <c r="K166" i="35"/>
  <c r="L166" i="35" s="1"/>
  <c r="K271" i="35"/>
  <c r="L271" i="35" s="1"/>
  <c r="K179" i="35"/>
  <c r="K262" i="35"/>
  <c r="K221" i="35"/>
  <c r="K164" i="35"/>
  <c r="K266" i="35"/>
  <c r="K177" i="35"/>
  <c r="L177" i="35" s="1"/>
  <c r="K248" i="35"/>
  <c r="K170" i="35"/>
  <c r="P91" i="35"/>
  <c r="Q91" i="35" s="1"/>
  <c r="C28" i="54" s="1"/>
  <c r="K249" i="35"/>
  <c r="K184" i="35"/>
  <c r="K162" i="35"/>
  <c r="L162" i="35" s="1"/>
  <c r="K92" i="35"/>
  <c r="P265" i="35"/>
  <c r="K178" i="35"/>
  <c r="K259" i="35"/>
  <c r="K279" i="35"/>
  <c r="L279" i="35" s="1"/>
  <c r="K264" i="35"/>
  <c r="L264" i="35" s="1"/>
  <c r="K258" i="35"/>
  <c r="K241" i="35"/>
  <c r="K197" i="35"/>
  <c r="K183" i="35"/>
  <c r="K175" i="35"/>
  <c r="L175" i="35" s="1"/>
  <c r="K169" i="35"/>
  <c r="L169" i="35" s="1"/>
  <c r="K161" i="35"/>
  <c r="L161" i="35" s="1"/>
  <c r="K278" i="35"/>
  <c r="L263" i="35"/>
  <c r="K257" i="35"/>
  <c r="K240" i="35"/>
  <c r="K192" i="35"/>
  <c r="L192" i="35" s="1"/>
  <c r="K182" i="35"/>
  <c r="L182" i="35" s="1"/>
  <c r="K174" i="35"/>
  <c r="K168" i="35"/>
  <c r="L168" i="35" s="1"/>
  <c r="K160" i="35"/>
  <c r="L160" i="35" s="1"/>
  <c r="K219" i="35"/>
  <c r="K163" i="35"/>
  <c r="P279" i="35"/>
  <c r="K176" i="35"/>
  <c r="L176" i="35" s="1"/>
  <c r="P273" i="35"/>
  <c r="P264" i="35"/>
  <c r="P266" i="35"/>
  <c r="P270" i="35"/>
  <c r="K28" i="35"/>
  <c r="P187" i="35"/>
  <c r="P162" i="35"/>
  <c r="P170" i="35"/>
  <c r="D76" i="11"/>
  <c r="C61" i="11"/>
  <c r="D61" i="11" s="1"/>
  <c r="J144" i="9"/>
  <c r="J142" i="9"/>
  <c r="J141" i="9"/>
  <c r="J140" i="9"/>
  <c r="G109" i="9"/>
  <c r="J109" i="9" s="1"/>
  <c r="J139" i="9"/>
  <c r="G116" i="9"/>
  <c r="G114" i="9"/>
  <c r="G113" i="9"/>
  <c r="G112" i="9"/>
  <c r="G111" i="9"/>
  <c r="K50" i="35"/>
  <c r="P158" i="35"/>
  <c r="Q166" i="35"/>
  <c r="K72" i="35"/>
  <c r="G107" i="9"/>
  <c r="K115" i="35"/>
  <c r="L115" i="35" s="1"/>
  <c r="Q182" i="35"/>
  <c r="P115" i="35"/>
  <c r="Q115" i="35" s="1"/>
  <c r="P101" i="35"/>
  <c r="Q101" i="35" s="1"/>
  <c r="K101" i="35"/>
  <c r="L101" i="35" s="1"/>
  <c r="F99" i="42"/>
  <c r="F69" i="42"/>
  <c r="C472" i="3"/>
  <c r="M161" i="35" l="1"/>
  <c r="N161" i="35" s="1"/>
  <c r="R91" i="35"/>
  <c r="M265" i="35"/>
  <c r="N265" i="35" s="1"/>
  <c r="M91" i="35"/>
  <c r="K280" i="35"/>
  <c r="M264" i="35"/>
  <c r="N264" i="35" s="1"/>
  <c r="M177" i="35"/>
  <c r="N177" i="35" s="1"/>
  <c r="M162" i="35"/>
  <c r="N162" i="35" s="1"/>
  <c r="C111" i="53"/>
  <c r="M263" i="35"/>
  <c r="D111" i="53" s="1"/>
  <c r="K188" i="35"/>
  <c r="L174" i="35"/>
  <c r="M160" i="35"/>
  <c r="N160" i="35" s="1"/>
  <c r="C65" i="53"/>
  <c r="M176" i="35"/>
  <c r="N176" i="35" s="1"/>
  <c r="C78" i="53"/>
  <c r="K208" i="35"/>
  <c r="K243" i="35"/>
  <c r="C84" i="53"/>
  <c r="M182" i="35"/>
  <c r="D84" i="53" s="1"/>
  <c r="C66" i="53"/>
  <c r="C79" i="53"/>
  <c r="J122" i="9"/>
  <c r="G135" i="9"/>
  <c r="G146" i="9" s="1"/>
  <c r="C39" i="53"/>
  <c r="J138" i="9"/>
  <c r="J145" i="9" s="1"/>
  <c r="J118" i="9"/>
  <c r="J111" i="9"/>
  <c r="J112" i="9"/>
  <c r="J113" i="9"/>
  <c r="J114" i="9"/>
  <c r="J116" i="9"/>
  <c r="R166" i="35"/>
  <c r="M166" i="35"/>
  <c r="N166" i="35" s="1"/>
  <c r="C71" i="53"/>
  <c r="M175" i="35"/>
  <c r="N175" i="35" s="1"/>
  <c r="R101" i="35"/>
  <c r="S101" i="35" s="1"/>
  <c r="C30" i="54"/>
  <c r="R115" i="35"/>
  <c r="S115" i="35" s="1"/>
  <c r="C31" i="54"/>
  <c r="M115" i="35"/>
  <c r="N115" i="35" s="1"/>
  <c r="C40" i="53"/>
  <c r="M101" i="35"/>
  <c r="D39" i="53" s="1"/>
  <c r="R182" i="35"/>
  <c r="K222" i="35"/>
  <c r="C72" i="53"/>
  <c r="M167" i="35"/>
  <c r="D72" i="53" s="1"/>
  <c r="C73" i="53"/>
  <c r="M168" i="35"/>
  <c r="D73" i="53" s="1"/>
  <c r="M185" i="35"/>
  <c r="D87" i="53" s="1"/>
  <c r="C87" i="53"/>
  <c r="A475" i="3"/>
  <c r="A456" i="3"/>
  <c r="A452" i="3"/>
  <c r="A436" i="3"/>
  <c r="A427" i="3"/>
  <c r="A308" i="3"/>
  <c r="A269" i="3"/>
  <c r="A266" i="3"/>
  <c r="C234" i="3"/>
  <c r="C224" i="3"/>
  <c r="C220" i="3"/>
  <c r="C212" i="3"/>
  <c r="C210" i="3"/>
  <c r="N91" i="35" l="1"/>
  <c r="E37" i="53" s="1"/>
  <c r="D37" i="53"/>
  <c r="S91" i="35"/>
  <c r="E28" i="54" s="1"/>
  <c r="D28" i="54"/>
  <c r="D66" i="53"/>
  <c r="N185" i="35"/>
  <c r="E87" i="53" s="1"/>
  <c r="N182" i="35"/>
  <c r="E84" i="53" s="1"/>
  <c r="N263" i="35"/>
  <c r="E111" i="53" s="1"/>
  <c r="K281" i="35"/>
  <c r="D79" i="53"/>
  <c r="N101" i="35"/>
  <c r="E39" i="53" s="1"/>
  <c r="N167" i="35"/>
  <c r="E72" i="53" s="1"/>
  <c r="M174" i="35"/>
  <c r="N174" i="35" s="1"/>
  <c r="N168" i="35"/>
  <c r="E73" i="53" s="1"/>
  <c r="E78" i="53"/>
  <c r="D78" i="53"/>
  <c r="E65" i="53"/>
  <c r="D65" i="53"/>
  <c r="E66" i="53"/>
  <c r="E79" i="53"/>
  <c r="E71" i="53"/>
  <c r="D71" i="53"/>
  <c r="E40" i="53"/>
  <c r="D40" i="53"/>
  <c r="E31" i="54"/>
  <c r="D31" i="54"/>
  <c r="E30" i="54"/>
  <c r="D30" i="54"/>
  <c r="C208" i="3"/>
  <c r="C201" i="3"/>
  <c r="C199" i="3"/>
  <c r="C196" i="3"/>
  <c r="C194" i="3"/>
  <c r="A189" i="3"/>
  <c r="A185" i="3"/>
  <c r="A63" i="3"/>
  <c r="A56" i="3"/>
  <c r="A50" i="3"/>
  <c r="A44" i="3"/>
  <c r="B481" i="3" l="1"/>
  <c r="A483" i="3" s="1"/>
  <c r="A479" i="3"/>
  <c r="G226" i="11"/>
  <c r="G408" i="11"/>
  <c r="E408" i="11"/>
  <c r="E226" i="11"/>
  <c r="N38" i="3" l="1"/>
  <c r="A490" i="3"/>
  <c r="A468" i="3"/>
  <c r="B454" i="3"/>
  <c r="A441" i="3"/>
  <c r="A432" i="3"/>
  <c r="B418" i="3"/>
  <c r="A420" i="3" s="1"/>
  <c r="A393" i="3"/>
  <c r="B324" i="3"/>
  <c r="B318" i="3"/>
  <c r="B295" i="3"/>
  <c r="B296" i="3" s="1"/>
  <c r="B297" i="3" s="1"/>
  <c r="B281" i="3"/>
  <c r="B271" i="3"/>
  <c r="A272" i="3" s="1"/>
  <c r="B250" i="3"/>
  <c r="C251" i="3" s="1"/>
  <c r="B249" i="3"/>
  <c r="B247" i="3"/>
  <c r="C248" i="3" s="1"/>
  <c r="B245" i="3"/>
  <c r="C246" i="3" s="1"/>
  <c r="C205" i="3"/>
  <c r="B298" i="3" l="1"/>
  <c r="B299" i="3" s="1"/>
  <c r="C236" i="3"/>
  <c r="C238" i="3"/>
  <c r="B215" i="3"/>
  <c r="C216" i="3" s="1"/>
  <c r="A38" i="3"/>
  <c r="A319" i="3"/>
  <c r="C2" i="50"/>
  <c r="C1" i="50"/>
  <c r="B291" i="3" l="1"/>
  <c r="H46" i="42" l="1"/>
  <c r="C1" i="49"/>
  <c r="C1" i="30"/>
  <c r="C1" i="28"/>
  <c r="C1" i="27"/>
  <c r="C1" i="26"/>
  <c r="C1" i="25"/>
  <c r="D1" i="24"/>
  <c r="C1" i="23"/>
  <c r="C1" i="22"/>
  <c r="C1" i="21"/>
  <c r="C1" i="20"/>
  <c r="C1" i="48"/>
  <c r="C1" i="13"/>
  <c r="C1" i="3"/>
  <c r="C1" i="12"/>
  <c r="C1" i="11"/>
  <c r="C2" i="11"/>
  <c r="E1" i="9"/>
  <c r="B1" i="2"/>
  <c r="E1" i="16"/>
  <c r="D1" i="42"/>
  <c r="C1" i="54"/>
  <c r="C1" i="53"/>
  <c r="E1" i="43"/>
  <c r="C3" i="49" l="1"/>
  <c r="C2" i="30" l="1"/>
  <c r="C2" i="23" l="1"/>
  <c r="E2" i="15" l="1"/>
  <c r="C6" i="11" l="1"/>
  <c r="C5" i="11"/>
  <c r="C4" i="11"/>
  <c r="C3" i="11"/>
  <c r="K137" i="35" l="1"/>
  <c r="K136" i="35"/>
  <c r="L136" i="35" s="1"/>
  <c r="J137" i="43"/>
  <c r="I136" i="35" s="1"/>
  <c r="J136" i="35" s="1"/>
  <c r="M136" i="35" l="1"/>
  <c r="D49" i="53" s="1"/>
  <c r="C49" i="53"/>
  <c r="N136" i="35" l="1"/>
  <c r="E49" i="53" s="1"/>
  <c r="C2" i="12" l="1"/>
  <c r="E2" i="16" l="1"/>
  <c r="E2" i="43" l="1"/>
  <c r="K48" i="20" l="1"/>
  <c r="N48" i="20" s="1"/>
  <c r="K49" i="20"/>
  <c r="N49" i="20" s="1"/>
  <c r="K50" i="20"/>
  <c r="N50" i="20" s="1"/>
  <c r="N363" i="3" l="1"/>
  <c r="O363" i="3" s="1"/>
  <c r="O364" i="3" s="1"/>
  <c r="N333" i="3"/>
  <c r="O333" i="3" s="1"/>
  <c r="O334" i="3" s="1"/>
  <c r="B415" i="3" l="1"/>
  <c r="B406" i="3"/>
  <c r="C418" i="3" l="1"/>
  <c r="C2" i="20" l="1"/>
  <c r="C311" i="11" l="1"/>
  <c r="B312" i="11"/>
  <c r="B313" i="11" s="1"/>
  <c r="D310" i="11"/>
  <c r="D123" i="11"/>
  <c r="AD173" i="65" l="1"/>
  <c r="D4" i="42" l="1"/>
  <c r="G17" i="64" l="1"/>
  <c r="D41" i="27" l="1"/>
  <c r="E41" i="27"/>
  <c r="F41" i="27"/>
  <c r="G41" i="27"/>
  <c r="H41" i="27"/>
  <c r="I41" i="27"/>
  <c r="J41" i="27"/>
  <c r="C41" i="27"/>
  <c r="D37" i="27"/>
  <c r="E37" i="27"/>
  <c r="F37" i="27"/>
  <c r="G37" i="27"/>
  <c r="H37" i="27"/>
  <c r="I37" i="27"/>
  <c r="J37" i="27"/>
  <c r="C37" i="27"/>
  <c r="C36" i="27" l="1"/>
  <c r="C35" i="27"/>
  <c r="G36" i="27"/>
  <c r="G35" i="27"/>
  <c r="J36" i="27"/>
  <c r="J35" i="27"/>
  <c r="F36" i="27"/>
  <c r="F35" i="27"/>
  <c r="I35" i="27"/>
  <c r="I36" i="27"/>
  <c r="E35" i="27"/>
  <c r="E36" i="27"/>
  <c r="H36" i="27"/>
  <c r="H35" i="27"/>
  <c r="D36" i="27"/>
  <c r="D35" i="27"/>
  <c r="B5" i="2"/>
  <c r="C3" i="53"/>
  <c r="AA28" i="68"/>
  <c r="AA23" i="66"/>
  <c r="AD23" i="66" s="1"/>
  <c r="AA20" i="66"/>
  <c r="AA21" i="66"/>
  <c r="AA19" i="66"/>
  <c r="AD283" i="64"/>
  <c r="AD224" i="64"/>
  <c r="AD225" i="64"/>
  <c r="AD227" i="64"/>
  <c r="AD229" i="64"/>
  <c r="AD230" i="64"/>
  <c r="AD231" i="64"/>
  <c r="G395" i="11"/>
  <c r="G396" i="11"/>
  <c r="G397" i="11"/>
  <c r="G398" i="11"/>
  <c r="G399" i="11"/>
  <c r="G400" i="11"/>
  <c r="G401" i="11"/>
  <c r="G402" i="11"/>
  <c r="G403" i="11"/>
  <c r="G404" i="11"/>
  <c r="G405" i="11"/>
  <c r="G406" i="11"/>
  <c r="G407" i="11"/>
  <c r="G409" i="11"/>
  <c r="G410" i="11"/>
  <c r="C411" i="11"/>
  <c r="D411" i="11"/>
  <c r="G211" i="11"/>
  <c r="G212" i="11"/>
  <c r="G213" i="11"/>
  <c r="G214" i="11"/>
  <c r="G215" i="11"/>
  <c r="G216" i="11"/>
  <c r="G217" i="11"/>
  <c r="G218" i="11"/>
  <c r="G219" i="11"/>
  <c r="G220" i="11"/>
  <c r="G221" i="11"/>
  <c r="G222" i="11"/>
  <c r="G223" i="11"/>
  <c r="G224" i="11"/>
  <c r="G225" i="11"/>
  <c r="G227" i="11"/>
  <c r="G228" i="11"/>
  <c r="C229" i="11"/>
  <c r="D229" i="11"/>
  <c r="H26" i="42"/>
  <c r="N27" i="3"/>
  <c r="B27" i="3" s="1"/>
  <c r="N28" i="3"/>
  <c r="B28" i="3" s="1"/>
  <c r="F241" i="11"/>
  <c r="M229" i="11"/>
  <c r="F239" i="11" s="1"/>
  <c r="G106" i="9"/>
  <c r="G105" i="9"/>
  <c r="G100" i="9"/>
  <c r="G99" i="9"/>
  <c r="G98" i="9"/>
  <c r="G97" i="9"/>
  <c r="G93" i="9"/>
  <c r="G91" i="9"/>
  <c r="G90" i="9"/>
  <c r="AA12" i="66"/>
  <c r="AA36" i="66"/>
  <c r="AA37" i="66"/>
  <c r="AA38" i="66"/>
  <c r="AD15" i="66"/>
  <c r="AA39" i="66"/>
  <c r="AA16" i="66"/>
  <c r="AD16" i="66" s="1"/>
  <c r="AA40" i="66"/>
  <c r="AA17" i="66"/>
  <c r="AA41" i="66"/>
  <c r="AA43" i="66"/>
  <c r="AA44" i="66"/>
  <c r="AA45" i="66"/>
  <c r="AC45" i="66" s="1"/>
  <c r="AA47" i="66"/>
  <c r="AD5" i="66"/>
  <c r="AD6" i="66"/>
  <c r="AA8" i="66"/>
  <c r="J32" i="43"/>
  <c r="I32" i="35" s="1"/>
  <c r="J79" i="43"/>
  <c r="I79" i="35" s="1"/>
  <c r="J81" i="43"/>
  <c r="I81" i="35" s="1"/>
  <c r="J81" i="35" s="1"/>
  <c r="J39" i="16" s="1"/>
  <c r="K119" i="35"/>
  <c r="L119" i="35" s="1"/>
  <c r="M279" i="35"/>
  <c r="N279" i="35" s="1"/>
  <c r="L278" i="35"/>
  <c r="L273" i="35"/>
  <c r="L266" i="35"/>
  <c r="L262" i="35"/>
  <c r="L261" i="35"/>
  <c r="L259" i="35"/>
  <c r="L258" i="35"/>
  <c r="L257" i="35"/>
  <c r="L256" i="35"/>
  <c r="L254" i="35"/>
  <c r="L253" i="35"/>
  <c r="L250" i="35"/>
  <c r="L249" i="35"/>
  <c r="L248" i="35"/>
  <c r="L241" i="35"/>
  <c r="L240" i="35"/>
  <c r="L237" i="35"/>
  <c r="L236" i="35"/>
  <c r="L235" i="35"/>
  <c r="L224" i="35"/>
  <c r="L221" i="35"/>
  <c r="M221" i="35" s="1"/>
  <c r="L219" i="35"/>
  <c r="L197" i="35"/>
  <c r="L187" i="35"/>
  <c r="L186" i="35"/>
  <c r="L184" i="35"/>
  <c r="L183" i="35"/>
  <c r="L181" i="35"/>
  <c r="L180" i="35"/>
  <c r="L179" i="35"/>
  <c r="L178" i="35"/>
  <c r="C77" i="53"/>
  <c r="C76" i="53"/>
  <c r="L170" i="35"/>
  <c r="L165" i="35"/>
  <c r="L164" i="35"/>
  <c r="L163" i="35"/>
  <c r="C64" i="53"/>
  <c r="K158" i="35"/>
  <c r="K154" i="35"/>
  <c r="L154" i="35" s="1"/>
  <c r="K153" i="35"/>
  <c r="L153" i="35" s="1"/>
  <c r="K151" i="35"/>
  <c r="L151" i="35" s="1"/>
  <c r="K150" i="35"/>
  <c r="L150" i="35" s="1"/>
  <c r="K147" i="35"/>
  <c r="L147" i="35" s="1"/>
  <c r="K146" i="35"/>
  <c r="L146" i="35" s="1"/>
  <c r="K145" i="35"/>
  <c r="L145" i="35" s="1"/>
  <c r="K144" i="35"/>
  <c r="L144" i="35" s="1"/>
  <c r="K143" i="35"/>
  <c r="L143" i="35" s="1"/>
  <c r="K141" i="35"/>
  <c r="L141" i="35" s="1"/>
  <c r="K140" i="35"/>
  <c r="L140" i="35" s="1"/>
  <c r="K139" i="35"/>
  <c r="L139" i="35" s="1"/>
  <c r="L137" i="35"/>
  <c r="K135" i="35"/>
  <c r="L135" i="35" s="1"/>
  <c r="K134" i="35"/>
  <c r="L134" i="35" s="1"/>
  <c r="K130" i="35"/>
  <c r="L130" i="35" s="1"/>
  <c r="K128" i="35"/>
  <c r="L128" i="35" s="1"/>
  <c r="K127" i="35"/>
  <c r="L127" i="35" s="1"/>
  <c r="K126" i="35"/>
  <c r="L126" i="35" s="1"/>
  <c r="K125" i="35"/>
  <c r="L125" i="35" s="1"/>
  <c r="J253" i="43"/>
  <c r="J193" i="43"/>
  <c r="I192" i="35" s="1"/>
  <c r="J192" i="35" s="1"/>
  <c r="B388" i="3" s="1"/>
  <c r="J120" i="43"/>
  <c r="I119" i="35" s="1"/>
  <c r="J119" i="35" s="1"/>
  <c r="B356" i="3" s="1"/>
  <c r="J144" i="43"/>
  <c r="J145" i="43"/>
  <c r="I144" i="35" s="1"/>
  <c r="J146" i="43"/>
  <c r="I145" i="35" s="1"/>
  <c r="J147" i="43"/>
  <c r="I146" i="35" s="1"/>
  <c r="J148" i="43"/>
  <c r="I147" i="35" s="1"/>
  <c r="J139" i="43"/>
  <c r="I138" i="35" s="1"/>
  <c r="J140" i="43"/>
  <c r="I139" i="35" s="1"/>
  <c r="J130" i="43"/>
  <c r="J131" i="43"/>
  <c r="I130" i="35" s="1"/>
  <c r="J130" i="35" s="1"/>
  <c r="J132" i="43"/>
  <c r="I131" i="35" s="1"/>
  <c r="J135" i="43"/>
  <c r="I134" i="35" s="1"/>
  <c r="J136" i="43"/>
  <c r="I135" i="35" s="1"/>
  <c r="J135" i="35" s="1"/>
  <c r="J138" i="43"/>
  <c r="I137" i="35" s="1"/>
  <c r="J137" i="35" s="1"/>
  <c r="J141" i="43"/>
  <c r="I140" i="35" s="1"/>
  <c r="J142" i="43"/>
  <c r="I141" i="35" s="1"/>
  <c r="J151" i="43"/>
  <c r="I150" i="35" s="1"/>
  <c r="J150" i="35" s="1"/>
  <c r="J152" i="43"/>
  <c r="I151" i="35" s="1"/>
  <c r="J151" i="35" s="1"/>
  <c r="J154" i="43"/>
  <c r="I153" i="35" s="1"/>
  <c r="J155" i="43"/>
  <c r="I154" i="35" s="1"/>
  <c r="I158" i="35"/>
  <c r="J163" i="43"/>
  <c r="J164" i="43"/>
  <c r="I163" i="35" s="1"/>
  <c r="J165" i="43"/>
  <c r="I164" i="35" s="1"/>
  <c r="J166" i="43"/>
  <c r="I165" i="35" s="1"/>
  <c r="J170" i="43"/>
  <c r="I169" i="35" s="1"/>
  <c r="J171" i="43"/>
  <c r="I170" i="35" s="1"/>
  <c r="J175" i="43"/>
  <c r="I175" i="35"/>
  <c r="J175" i="35" s="1"/>
  <c r="J179" i="43"/>
  <c r="I178" i="35" s="1"/>
  <c r="J180" i="43"/>
  <c r="I179" i="35" s="1"/>
  <c r="J182" i="43"/>
  <c r="I181" i="35" s="1"/>
  <c r="J181" i="43"/>
  <c r="I180" i="35" s="1"/>
  <c r="J184" i="43"/>
  <c r="J325" i="43" s="1"/>
  <c r="J185" i="43"/>
  <c r="J326" i="43" s="1"/>
  <c r="J187" i="43"/>
  <c r="I186" i="35" s="1"/>
  <c r="J28" i="43"/>
  <c r="J29" i="43"/>
  <c r="I29" i="35" s="1"/>
  <c r="J29" i="35" s="1"/>
  <c r="J33" i="16" s="1"/>
  <c r="J30" i="43"/>
  <c r="J31" i="43"/>
  <c r="J34" i="43"/>
  <c r="I33" i="35"/>
  <c r="J59" i="43"/>
  <c r="I59" i="35" s="1"/>
  <c r="J60" i="43"/>
  <c r="I60" i="35" s="1"/>
  <c r="J39" i="43"/>
  <c r="I40" i="35"/>
  <c r="J42" i="43"/>
  <c r="I42" i="35" s="1"/>
  <c r="J42" i="35" s="1"/>
  <c r="J41" i="43"/>
  <c r="I41" i="35" s="1"/>
  <c r="I46" i="35"/>
  <c r="J46" i="35" s="1"/>
  <c r="J47" i="43"/>
  <c r="I47" i="35" s="1"/>
  <c r="J47" i="35" s="1"/>
  <c r="J48" i="43"/>
  <c r="I48" i="35" s="1"/>
  <c r="J48" i="35" s="1"/>
  <c r="J50" i="43"/>
  <c r="I50" i="35" s="1"/>
  <c r="J50" i="35" s="1"/>
  <c r="J51" i="43"/>
  <c r="I51" i="35" s="1"/>
  <c r="J51" i="35" s="1"/>
  <c r="J52" i="43"/>
  <c r="I52" i="35" s="1"/>
  <c r="J52" i="35" s="1"/>
  <c r="J53" i="43"/>
  <c r="I53" i="35" s="1"/>
  <c r="J53" i="35" s="1"/>
  <c r="J56" i="43"/>
  <c r="I56" i="35" s="1"/>
  <c r="J58" i="43"/>
  <c r="I58" i="35" s="1"/>
  <c r="J58" i="35" s="1"/>
  <c r="J62" i="43"/>
  <c r="I62" i="35" s="1"/>
  <c r="J63" i="43"/>
  <c r="I63" i="35" s="1"/>
  <c r="J65" i="43"/>
  <c r="J66" i="43"/>
  <c r="I66" i="35" s="1"/>
  <c r="J66" i="35" s="1"/>
  <c r="J68" i="43"/>
  <c r="I68" i="35" s="1"/>
  <c r="J71" i="43"/>
  <c r="I71" i="35" s="1"/>
  <c r="J71" i="35" s="1"/>
  <c r="J72" i="43"/>
  <c r="I72" i="35" s="1"/>
  <c r="J72" i="35" s="1"/>
  <c r="J75" i="43"/>
  <c r="J76" i="43"/>
  <c r="I76" i="35" s="1"/>
  <c r="J76" i="35" s="1"/>
  <c r="J34" i="16" s="1"/>
  <c r="J77" i="43"/>
  <c r="I77" i="35" s="1"/>
  <c r="J77" i="35" s="1"/>
  <c r="G143" i="16" s="1"/>
  <c r="J78" i="43"/>
  <c r="I78" i="35" s="1"/>
  <c r="J78" i="35" s="1"/>
  <c r="G174" i="16" s="1"/>
  <c r="J80" i="43"/>
  <c r="I80" i="35" s="1"/>
  <c r="J80" i="35" s="1"/>
  <c r="G68" i="16" s="1"/>
  <c r="J82" i="43"/>
  <c r="I82" i="35" s="1"/>
  <c r="J86" i="43"/>
  <c r="I86" i="35" s="1"/>
  <c r="J86" i="35" s="1"/>
  <c r="J87" i="43"/>
  <c r="I87" i="35" s="1"/>
  <c r="J87" i="35" s="1"/>
  <c r="G82" i="16" s="1"/>
  <c r="J88" i="43"/>
  <c r="J89" i="43"/>
  <c r="I89" i="35" s="1"/>
  <c r="I92" i="35"/>
  <c r="J57" i="43"/>
  <c r="I57" i="35" s="1"/>
  <c r="J198" i="43"/>
  <c r="I197" i="35" s="1"/>
  <c r="J201" i="43"/>
  <c r="J202" i="43"/>
  <c r="J203" i="43"/>
  <c r="J204" i="43"/>
  <c r="J205" i="43"/>
  <c r="J206" i="43"/>
  <c r="J208" i="43"/>
  <c r="I207" i="35" s="1"/>
  <c r="J207" i="35" s="1"/>
  <c r="J207" i="43"/>
  <c r="I206" i="35" s="1"/>
  <c r="J211" i="43"/>
  <c r="J212" i="43"/>
  <c r="J213" i="43"/>
  <c r="J214" i="43"/>
  <c r="J215" i="43"/>
  <c r="J216" i="43"/>
  <c r="J217" i="43"/>
  <c r="J218" i="43"/>
  <c r="J219" i="43"/>
  <c r="J220" i="43"/>
  <c r="I219" i="35" s="1"/>
  <c r="J219" i="35" s="1"/>
  <c r="J222" i="43"/>
  <c r="I221" i="35" s="1"/>
  <c r="J221" i="35" s="1"/>
  <c r="J221" i="43"/>
  <c r="I220" i="35" s="1"/>
  <c r="J225" i="43"/>
  <c r="I224" i="35" s="1"/>
  <c r="I133" i="43"/>
  <c r="O159" i="15"/>
  <c r="E159" i="15" s="1"/>
  <c r="P278" i="35"/>
  <c r="O158" i="15"/>
  <c r="E158" i="15" s="1"/>
  <c r="P276" i="35"/>
  <c r="O156" i="15"/>
  <c r="Q156" i="15" s="1"/>
  <c r="P275" i="35"/>
  <c r="O155" i="15"/>
  <c r="Q155" i="15" s="1"/>
  <c r="O153" i="15"/>
  <c r="Q153" i="15" s="1"/>
  <c r="P272" i="35"/>
  <c r="O152" i="15"/>
  <c r="Q152" i="15" s="1"/>
  <c r="H272" i="35" s="1"/>
  <c r="O151" i="15"/>
  <c r="Q151" i="15" s="1"/>
  <c r="O150" i="15"/>
  <c r="Q150" i="15" s="1"/>
  <c r="O147" i="15"/>
  <c r="Q147" i="15" s="1"/>
  <c r="H266" i="35" s="1"/>
  <c r="J266" i="35" s="1"/>
  <c r="O146" i="15"/>
  <c r="Q146" i="15" s="1"/>
  <c r="O145" i="15"/>
  <c r="Q145" i="15" s="1"/>
  <c r="H264" i="35" s="1"/>
  <c r="O144" i="15"/>
  <c r="Q144" i="15" s="1"/>
  <c r="P261" i="35"/>
  <c r="O143" i="15"/>
  <c r="Q143" i="15" s="1"/>
  <c r="P241" i="35"/>
  <c r="O137" i="15"/>
  <c r="Q137" i="15" s="1"/>
  <c r="P240" i="35"/>
  <c r="O136" i="15"/>
  <c r="Q136" i="15" s="1"/>
  <c r="P237" i="35"/>
  <c r="O133" i="15"/>
  <c r="Q133" i="15" s="1"/>
  <c r="P236" i="35"/>
  <c r="O132" i="15"/>
  <c r="Q132" i="15" s="1"/>
  <c r="H236" i="35" s="1"/>
  <c r="P235" i="35"/>
  <c r="O131" i="15"/>
  <c r="Q131" i="15" s="1"/>
  <c r="P224" i="35"/>
  <c r="O116" i="15"/>
  <c r="Q116" i="15" s="1"/>
  <c r="P220" i="35"/>
  <c r="O115" i="15"/>
  <c r="Q115" i="15" s="1"/>
  <c r="P206" i="35"/>
  <c r="O113" i="15"/>
  <c r="Q113" i="15" s="1"/>
  <c r="P197" i="35"/>
  <c r="O110" i="15"/>
  <c r="O104" i="15"/>
  <c r="Q104" i="15" s="1"/>
  <c r="H187" i="35" s="1"/>
  <c r="O103" i="15"/>
  <c r="Q103" i="15" s="1"/>
  <c r="O102" i="15"/>
  <c r="Q102" i="15" s="1"/>
  <c r="O101" i="15"/>
  <c r="Q101" i="15" s="1"/>
  <c r="P181" i="35"/>
  <c r="O100" i="15"/>
  <c r="Q100" i="15" s="1"/>
  <c r="H181" i="35" s="1"/>
  <c r="P180" i="35"/>
  <c r="O99" i="15"/>
  <c r="Q99" i="15" s="1"/>
  <c r="H180" i="35" s="1"/>
  <c r="P179" i="35"/>
  <c r="O98" i="15"/>
  <c r="Q98" i="15" s="1"/>
  <c r="P178" i="35"/>
  <c r="O97" i="15"/>
  <c r="Q95" i="15"/>
  <c r="O91" i="15"/>
  <c r="Q91" i="15" s="1"/>
  <c r="P169" i="35"/>
  <c r="O90" i="15"/>
  <c r="Q90" i="15" s="1"/>
  <c r="H169" i="35" s="1"/>
  <c r="P165" i="35"/>
  <c r="O89" i="15"/>
  <c r="P164" i="35"/>
  <c r="O88" i="15"/>
  <c r="Q88" i="15" s="1"/>
  <c r="P163" i="35"/>
  <c r="O87" i="15"/>
  <c r="O86" i="15"/>
  <c r="P154" i="35"/>
  <c r="Q80" i="15"/>
  <c r="P153" i="35"/>
  <c r="Q79" i="15"/>
  <c r="P147" i="35"/>
  <c r="O75" i="15"/>
  <c r="Q75" i="15" s="1"/>
  <c r="P146" i="35"/>
  <c r="O74" i="15"/>
  <c r="Q74" i="15" s="1"/>
  <c r="P145" i="35"/>
  <c r="O73" i="15"/>
  <c r="Q73" i="15" s="1"/>
  <c r="P144" i="35"/>
  <c r="O72" i="15"/>
  <c r="Q72" i="15" s="1"/>
  <c r="P143" i="35"/>
  <c r="O71" i="15"/>
  <c r="P141" i="35"/>
  <c r="O69" i="15"/>
  <c r="Q69" i="15" s="1"/>
  <c r="P140" i="35"/>
  <c r="O68" i="15"/>
  <c r="Q68" i="15" s="1"/>
  <c r="P139" i="35"/>
  <c r="O67" i="15"/>
  <c r="Q67" i="15" s="1"/>
  <c r="P138" i="35"/>
  <c r="O66" i="15"/>
  <c r="Q66" i="15" s="1"/>
  <c r="P134" i="35"/>
  <c r="Q65" i="15"/>
  <c r="P131" i="35"/>
  <c r="P132" i="35" s="1"/>
  <c r="Q63" i="15"/>
  <c r="Q43" i="15"/>
  <c r="H92" i="35" s="1"/>
  <c r="P89" i="35"/>
  <c r="P90" i="35" s="1"/>
  <c r="O41" i="15"/>
  <c r="Q41" i="15" s="1"/>
  <c r="H89" i="35" s="1"/>
  <c r="P82" i="35"/>
  <c r="P83" i="35" s="1"/>
  <c r="O40" i="15"/>
  <c r="Q40" i="15" s="1"/>
  <c r="P68" i="35"/>
  <c r="O36" i="15"/>
  <c r="Q36" i="15" s="1"/>
  <c r="P65" i="35"/>
  <c r="O34" i="15"/>
  <c r="P63" i="35"/>
  <c r="O32" i="15"/>
  <c r="Q32" i="15" s="1"/>
  <c r="P62" i="35"/>
  <c r="O31" i="15"/>
  <c r="Q31" i="15" s="1"/>
  <c r="P60" i="35"/>
  <c r="O29" i="15"/>
  <c r="Q29" i="15" s="1"/>
  <c r="P59" i="35"/>
  <c r="O28" i="15"/>
  <c r="Q28" i="15" s="1"/>
  <c r="P57" i="35"/>
  <c r="O27" i="15"/>
  <c r="Q27" i="15" s="1"/>
  <c r="P56" i="35"/>
  <c r="O26" i="15"/>
  <c r="P41" i="35"/>
  <c r="P43" i="35" s="1"/>
  <c r="O25" i="15"/>
  <c r="Q25" i="15" s="1"/>
  <c r="H41" i="35" s="1"/>
  <c r="H43" i="35" s="1"/>
  <c r="P33" i="35"/>
  <c r="P35" i="35" s="1"/>
  <c r="O24" i="15"/>
  <c r="Q24" i="15" s="1"/>
  <c r="L92" i="35"/>
  <c r="K86" i="35"/>
  <c r="K87" i="35"/>
  <c r="L87" i="35" s="1"/>
  <c r="M87" i="35" s="1"/>
  <c r="K88" i="35"/>
  <c r="L88" i="35" s="1"/>
  <c r="M88" i="35" s="1"/>
  <c r="K75" i="35"/>
  <c r="L75" i="35" s="1"/>
  <c r="M75" i="35" s="1"/>
  <c r="K76" i="35"/>
  <c r="L76" i="35" s="1"/>
  <c r="M76" i="35" s="1"/>
  <c r="K77" i="35"/>
  <c r="L77" i="35" s="1"/>
  <c r="M77" i="35" s="1"/>
  <c r="K78" i="35"/>
  <c r="L78" i="35" s="1"/>
  <c r="M78" i="35" s="1"/>
  <c r="K79" i="35"/>
  <c r="L79" i="35" s="1"/>
  <c r="M79" i="35" s="1"/>
  <c r="K80" i="35"/>
  <c r="L80" i="35" s="1"/>
  <c r="M80" i="35" s="1"/>
  <c r="K81" i="35"/>
  <c r="L81" i="35" s="1"/>
  <c r="M81" i="35" s="1"/>
  <c r="L72" i="35"/>
  <c r="K71" i="35"/>
  <c r="L71" i="35" s="1"/>
  <c r="K68" i="35"/>
  <c r="L68" i="35" s="1"/>
  <c r="K66" i="35"/>
  <c r="L66" i="35" s="1"/>
  <c r="K65" i="35"/>
  <c r="L65" i="35" s="1"/>
  <c r="K63" i="35"/>
  <c r="L63" i="35" s="1"/>
  <c r="K62" i="35"/>
  <c r="L62" i="35" s="1"/>
  <c r="K60" i="35"/>
  <c r="L60" i="35" s="1"/>
  <c r="K58" i="35"/>
  <c r="L58" i="35" s="1"/>
  <c r="K56" i="35"/>
  <c r="L56" i="35" s="1"/>
  <c r="K53" i="35"/>
  <c r="L53" i="35" s="1"/>
  <c r="K52" i="35"/>
  <c r="L52" i="35" s="1"/>
  <c r="K51" i="35"/>
  <c r="L51" i="35" s="1"/>
  <c r="L50" i="35"/>
  <c r="K48" i="35"/>
  <c r="L48" i="35" s="1"/>
  <c r="K47" i="35"/>
  <c r="L47" i="35" s="1"/>
  <c r="K46" i="35"/>
  <c r="L46" i="35" s="1"/>
  <c r="K39" i="35"/>
  <c r="K40" i="35"/>
  <c r="L40" i="35" s="1"/>
  <c r="M40" i="35" s="1"/>
  <c r="K42" i="35"/>
  <c r="L42" i="35" s="1"/>
  <c r="M42" i="35" s="1"/>
  <c r="L28" i="35"/>
  <c r="K29" i="35"/>
  <c r="K30" i="35"/>
  <c r="L30" i="35" s="1"/>
  <c r="M30" i="35" s="1"/>
  <c r="K31" i="35"/>
  <c r="L31" i="35" s="1"/>
  <c r="M31" i="35" s="1"/>
  <c r="K32" i="35"/>
  <c r="L32" i="35" s="1"/>
  <c r="M32" i="35" s="1"/>
  <c r="K34" i="35"/>
  <c r="L34" i="35" s="1"/>
  <c r="M34" i="35" s="1"/>
  <c r="J254" i="43"/>
  <c r="I253" i="35" s="1"/>
  <c r="J253" i="35" s="1"/>
  <c r="I88" i="35"/>
  <c r="J88" i="35" s="1"/>
  <c r="J45" i="16" s="1"/>
  <c r="J126" i="43"/>
  <c r="I125" i="35" s="1"/>
  <c r="J125" i="35" s="1"/>
  <c r="J127" i="43"/>
  <c r="I126" i="35" s="1"/>
  <c r="J126" i="35" s="1"/>
  <c r="J128" i="43"/>
  <c r="I127" i="35" s="1"/>
  <c r="J127" i="35" s="1"/>
  <c r="J129" i="43"/>
  <c r="I128" i="35" s="1"/>
  <c r="G222" i="35"/>
  <c r="G208" i="35"/>
  <c r="C5" i="27"/>
  <c r="C5" i="20"/>
  <c r="B6" i="2"/>
  <c r="C5" i="53"/>
  <c r="M354" i="9"/>
  <c r="M329" i="9"/>
  <c r="M330" i="9"/>
  <c r="M356" i="9"/>
  <c r="M331" i="9"/>
  <c r="M357" i="9"/>
  <c r="M333" i="9"/>
  <c r="M359" i="9"/>
  <c r="M334" i="9"/>
  <c r="M360" i="9"/>
  <c r="M336" i="9"/>
  <c r="M362" i="9"/>
  <c r="M337" i="9"/>
  <c r="M363" i="9"/>
  <c r="M338" i="9"/>
  <c r="M364" i="9"/>
  <c r="D123" i="9"/>
  <c r="D124" i="9"/>
  <c r="D125" i="9"/>
  <c r="J125" i="9" s="1"/>
  <c r="J128" i="9"/>
  <c r="J132" i="9"/>
  <c r="J134" i="9"/>
  <c r="D98" i="9"/>
  <c r="D99" i="9"/>
  <c r="D100" i="9"/>
  <c r="G102" i="9"/>
  <c r="G103" i="9"/>
  <c r="D103" i="9"/>
  <c r="D106" i="9"/>
  <c r="D107" i="9"/>
  <c r="G87" i="9"/>
  <c r="D87" i="9"/>
  <c r="G88" i="9"/>
  <c r="D88" i="9"/>
  <c r="D90" i="9"/>
  <c r="D91" i="9"/>
  <c r="D93" i="9"/>
  <c r="AA10" i="68"/>
  <c r="Y11" i="68"/>
  <c r="AA12" i="68"/>
  <c r="Z13" i="68"/>
  <c r="AA31" i="68"/>
  <c r="AA16" i="68"/>
  <c r="AA18" i="68"/>
  <c r="AA19" i="68"/>
  <c r="AA21" i="68"/>
  <c r="Y23" i="68"/>
  <c r="Y24" i="68"/>
  <c r="Y25" i="68"/>
  <c r="Y26" i="68"/>
  <c r="Y27" i="68"/>
  <c r="Y15" i="68"/>
  <c r="AA15" i="68" s="1"/>
  <c r="Z8" i="68"/>
  <c r="AA2" i="68"/>
  <c r="AA3" i="68"/>
  <c r="AA6" i="68"/>
  <c r="AA7" i="68"/>
  <c r="E394" i="11"/>
  <c r="E395" i="11"/>
  <c r="E396" i="11"/>
  <c r="E397" i="11"/>
  <c r="E398" i="11"/>
  <c r="E399" i="11"/>
  <c r="E400" i="11"/>
  <c r="E401" i="11"/>
  <c r="E402" i="11"/>
  <c r="E403" i="11"/>
  <c r="E404" i="11"/>
  <c r="E405" i="11"/>
  <c r="E406" i="11"/>
  <c r="E407" i="11"/>
  <c r="E409" i="11"/>
  <c r="E410" i="11"/>
  <c r="E393" i="11"/>
  <c r="E212" i="11"/>
  <c r="E213" i="11"/>
  <c r="E214" i="11"/>
  <c r="E215" i="11"/>
  <c r="E216" i="11"/>
  <c r="E217" i="11"/>
  <c r="E218" i="11"/>
  <c r="E219" i="11"/>
  <c r="E220" i="11"/>
  <c r="E221" i="11"/>
  <c r="E222" i="11"/>
  <c r="E223" i="11"/>
  <c r="E224" i="11"/>
  <c r="E225" i="11"/>
  <c r="E227" i="11"/>
  <c r="E228" i="11"/>
  <c r="E211" i="11"/>
  <c r="A348" i="9"/>
  <c r="A93" i="9"/>
  <c r="M33" i="9"/>
  <c r="M34" i="9"/>
  <c r="M36" i="9"/>
  <c r="M37" i="9"/>
  <c r="M38" i="9"/>
  <c r="J325" i="9"/>
  <c r="D2" i="24"/>
  <c r="D3" i="24"/>
  <c r="C256" i="3"/>
  <c r="C2" i="49"/>
  <c r="C4" i="49"/>
  <c r="C5" i="49"/>
  <c r="C6" i="49"/>
  <c r="C3" i="30"/>
  <c r="C4" i="30"/>
  <c r="C5" i="30"/>
  <c r="C6" i="30"/>
  <c r="C2" i="28"/>
  <c r="C3" i="28"/>
  <c r="C4" i="28"/>
  <c r="C5" i="28"/>
  <c r="C6" i="28"/>
  <c r="C2" i="27"/>
  <c r="C3" i="27"/>
  <c r="C4" i="27"/>
  <c r="C6" i="27"/>
  <c r="C2" i="26"/>
  <c r="C3" i="26"/>
  <c r="C4" i="26"/>
  <c r="C5" i="26"/>
  <c r="C6" i="26"/>
  <c r="C2" i="25"/>
  <c r="C3" i="25"/>
  <c r="C4" i="25"/>
  <c r="C5" i="25"/>
  <c r="C6" i="25"/>
  <c r="D4" i="24"/>
  <c r="D5" i="24"/>
  <c r="C4" i="23"/>
  <c r="C5" i="23"/>
  <c r="C6" i="23"/>
  <c r="C2" i="22"/>
  <c r="C3" i="22"/>
  <c r="C4" i="22"/>
  <c r="C5" i="22"/>
  <c r="C6" i="22"/>
  <c r="C2" i="21"/>
  <c r="C3" i="21"/>
  <c r="C4" i="21"/>
  <c r="C5" i="21"/>
  <c r="C6" i="21"/>
  <c r="C4" i="20"/>
  <c r="C6" i="20"/>
  <c r="C2" i="48"/>
  <c r="C3" i="48"/>
  <c r="C4" i="48"/>
  <c r="C5" i="48"/>
  <c r="C6" i="48"/>
  <c r="C2" i="13"/>
  <c r="C3" i="13"/>
  <c r="C4" i="13"/>
  <c r="C5" i="13"/>
  <c r="C6" i="13"/>
  <c r="C2" i="3"/>
  <c r="C3" i="3"/>
  <c r="C4" i="3"/>
  <c r="C5" i="3"/>
  <c r="C6" i="3"/>
  <c r="C3" i="12"/>
  <c r="C4" i="12"/>
  <c r="C5" i="12"/>
  <c r="C6" i="12"/>
  <c r="E2" i="9"/>
  <c r="E3" i="9"/>
  <c r="E4" i="9"/>
  <c r="E5" i="9"/>
  <c r="E6" i="9"/>
  <c r="B2" i="2"/>
  <c r="B3" i="2"/>
  <c r="B4" i="2"/>
  <c r="E3" i="16"/>
  <c r="E5" i="16"/>
  <c r="E6" i="16"/>
  <c r="D2" i="42"/>
  <c r="D3" i="42"/>
  <c r="D5" i="42"/>
  <c r="C2" i="54"/>
  <c r="C3" i="54"/>
  <c r="C4" i="54"/>
  <c r="C5" i="54"/>
  <c r="C6" i="54"/>
  <c r="C2" i="53"/>
  <c r="C4" i="53"/>
  <c r="C6" i="53"/>
  <c r="E3" i="43"/>
  <c r="E4" i="43"/>
  <c r="E5" i="43"/>
  <c r="E6" i="43"/>
  <c r="P290" i="11"/>
  <c r="Q290" i="11" s="1"/>
  <c r="E290" i="11"/>
  <c r="Q47" i="11"/>
  <c r="A53" i="11"/>
  <c r="O162" i="15"/>
  <c r="G9" i="65"/>
  <c r="G91" i="65"/>
  <c r="G94" i="65"/>
  <c r="G109" i="65"/>
  <c r="G127" i="65"/>
  <c r="G156" i="65"/>
  <c r="G170" i="65"/>
  <c r="G191" i="65"/>
  <c r="G227" i="65" s="1"/>
  <c r="G244" i="65"/>
  <c r="G245" i="65"/>
  <c r="G246" i="65"/>
  <c r="G247" i="65"/>
  <c r="G248" i="65"/>
  <c r="G251" i="65"/>
  <c r="G252" i="65"/>
  <c r="G216" i="64"/>
  <c r="G266" i="64"/>
  <c r="G267" i="64"/>
  <c r="G278" i="64"/>
  <c r="G283" i="64"/>
  <c r="G284" i="64"/>
  <c r="G288" i="64"/>
  <c r="F290" i="11"/>
  <c r="L20" i="49"/>
  <c r="L21" i="49"/>
  <c r="L22" i="49"/>
  <c r="L23" i="49"/>
  <c r="K20" i="49"/>
  <c r="K21" i="49"/>
  <c r="K22" i="49"/>
  <c r="K23" i="49"/>
  <c r="D20" i="49"/>
  <c r="D21" i="49"/>
  <c r="D23" i="49"/>
  <c r="E20" i="49"/>
  <c r="E21" i="49"/>
  <c r="E22" i="49"/>
  <c r="F20" i="49"/>
  <c r="F21" i="49"/>
  <c r="F22" i="49"/>
  <c r="F23" i="49"/>
  <c r="G20" i="49"/>
  <c r="G21" i="49"/>
  <c r="G22" i="49"/>
  <c r="G23" i="49"/>
  <c r="H20" i="49"/>
  <c r="H21" i="49"/>
  <c r="H22" i="49"/>
  <c r="H23" i="49"/>
  <c r="I20" i="49"/>
  <c r="I21" i="49"/>
  <c r="I22" i="49"/>
  <c r="I23" i="49"/>
  <c r="J20" i="49"/>
  <c r="J21" i="49"/>
  <c r="J22" i="49"/>
  <c r="J23" i="49"/>
  <c r="C21" i="49"/>
  <c r="C22" i="49"/>
  <c r="C23" i="49"/>
  <c r="D147" i="27"/>
  <c r="D148" i="27" s="1"/>
  <c r="E147" i="27"/>
  <c r="E148" i="27" s="1"/>
  <c r="F147" i="27"/>
  <c r="F148" i="27" s="1"/>
  <c r="G147" i="27"/>
  <c r="G148" i="27" s="1"/>
  <c r="H147" i="27"/>
  <c r="H148" i="27" s="1"/>
  <c r="I147" i="27"/>
  <c r="I148" i="27" s="1"/>
  <c r="J147" i="27"/>
  <c r="J148" i="27" s="1"/>
  <c r="D127" i="27"/>
  <c r="D128" i="27" s="1"/>
  <c r="E127" i="27"/>
  <c r="E128" i="27" s="1"/>
  <c r="F127" i="27"/>
  <c r="F128" i="27" s="1"/>
  <c r="G127" i="27"/>
  <c r="G128" i="27" s="1"/>
  <c r="H127" i="27"/>
  <c r="H128" i="27" s="1"/>
  <c r="I127" i="27"/>
  <c r="I128" i="27" s="1"/>
  <c r="J127" i="27"/>
  <c r="J128" i="27" s="1"/>
  <c r="C127" i="27"/>
  <c r="D109" i="27"/>
  <c r="D110" i="27" s="1"/>
  <c r="E109" i="27"/>
  <c r="E110" i="27" s="1"/>
  <c r="F109" i="27"/>
  <c r="F110" i="27" s="1"/>
  <c r="G109" i="27"/>
  <c r="G110" i="27" s="1"/>
  <c r="H109" i="27"/>
  <c r="H110" i="27" s="1"/>
  <c r="I109" i="27"/>
  <c r="I110" i="27" s="1"/>
  <c r="J109" i="27"/>
  <c r="J110" i="27" s="1"/>
  <c r="C109" i="27"/>
  <c r="C110" i="27" s="1"/>
  <c r="K102" i="25"/>
  <c r="K103" i="25"/>
  <c r="N103" i="25" s="1"/>
  <c r="K104" i="25"/>
  <c r="N104" i="25" s="1"/>
  <c r="K105" i="25"/>
  <c r="N105" i="25" s="1"/>
  <c r="K106" i="25"/>
  <c r="N106" i="25" s="1"/>
  <c r="K107" i="25"/>
  <c r="N107" i="25" s="1"/>
  <c r="M110" i="25"/>
  <c r="M111" i="25" s="1"/>
  <c r="D110" i="25"/>
  <c r="D111" i="25" s="1"/>
  <c r="E110" i="25"/>
  <c r="E111" i="25" s="1"/>
  <c r="F110" i="25"/>
  <c r="F111" i="25" s="1"/>
  <c r="G110" i="25"/>
  <c r="G111" i="25" s="1"/>
  <c r="H110" i="25"/>
  <c r="H111" i="25" s="1"/>
  <c r="I110" i="25"/>
  <c r="I111" i="25" s="1"/>
  <c r="J110" i="25"/>
  <c r="J111" i="25" s="1"/>
  <c r="L110" i="25"/>
  <c r="L111" i="25" s="1"/>
  <c r="C110" i="25"/>
  <c r="K41" i="25"/>
  <c r="K42" i="25"/>
  <c r="N42" i="25" s="1"/>
  <c r="K43" i="25"/>
  <c r="N43" i="25" s="1"/>
  <c r="K44" i="25"/>
  <c r="N44" i="25" s="1"/>
  <c r="N45" i="25"/>
  <c r="N46" i="25"/>
  <c r="K47" i="25"/>
  <c r="N47" i="25" s="1"/>
  <c r="K48" i="25"/>
  <c r="N48" i="25" s="1"/>
  <c r="K49" i="25"/>
  <c r="N49" i="25" s="1"/>
  <c r="M52" i="25"/>
  <c r="M53" i="25" s="1"/>
  <c r="D52" i="25"/>
  <c r="E52" i="25"/>
  <c r="F52" i="25"/>
  <c r="F53" i="25" s="1"/>
  <c r="G52" i="25"/>
  <c r="G53" i="25" s="1"/>
  <c r="H52" i="25"/>
  <c r="H53" i="25" s="1"/>
  <c r="I52" i="25"/>
  <c r="I53" i="25" s="1"/>
  <c r="J52" i="25"/>
  <c r="J53" i="25" s="1"/>
  <c r="L52" i="25"/>
  <c r="L53" i="25" s="1"/>
  <c r="N21" i="25"/>
  <c r="N22" i="25"/>
  <c r="K23" i="25"/>
  <c r="N23" i="25" s="1"/>
  <c r="N24" i="25"/>
  <c r="N25" i="25"/>
  <c r="M28" i="25"/>
  <c r="D28" i="25"/>
  <c r="E28" i="25"/>
  <c r="E29" i="25" s="1"/>
  <c r="F28" i="25"/>
  <c r="F29" i="25" s="1"/>
  <c r="G28" i="25"/>
  <c r="G29" i="25" s="1"/>
  <c r="H28" i="25"/>
  <c r="H29" i="25" s="1"/>
  <c r="I28" i="25"/>
  <c r="I29" i="25" s="1"/>
  <c r="J28" i="25"/>
  <c r="J29" i="25" s="1"/>
  <c r="B145" i="24"/>
  <c r="B107" i="24"/>
  <c r="B84" i="24"/>
  <c r="D57" i="24"/>
  <c r="D34" i="24"/>
  <c r="K45" i="23"/>
  <c r="N45" i="23" s="1"/>
  <c r="K39" i="23"/>
  <c r="K41" i="23"/>
  <c r="N41" i="23" s="1"/>
  <c r="K42" i="23"/>
  <c r="N42" i="23" s="1"/>
  <c r="N50" i="22"/>
  <c r="N51" i="22"/>
  <c r="N52" i="22"/>
  <c r="N54" i="22"/>
  <c r="N55" i="22"/>
  <c r="E53" i="22"/>
  <c r="E59" i="22" s="1"/>
  <c r="E60" i="22" s="1"/>
  <c r="F53" i="22"/>
  <c r="F59" i="22" s="1"/>
  <c r="F60" i="22" s="1"/>
  <c r="G53" i="22"/>
  <c r="G59" i="22" s="1"/>
  <c r="G60" i="22" s="1"/>
  <c r="N24" i="22"/>
  <c r="N25" i="22"/>
  <c r="N27" i="22"/>
  <c r="D30" i="22"/>
  <c r="D31" i="22" s="1"/>
  <c r="E26" i="22"/>
  <c r="E30" i="22" s="1"/>
  <c r="F26" i="22"/>
  <c r="G26" i="22"/>
  <c r="G30" i="22" s="1"/>
  <c r="C30" i="22"/>
  <c r="C31" i="22" s="1"/>
  <c r="K35" i="20"/>
  <c r="N35" i="20" s="1"/>
  <c r="K36" i="20"/>
  <c r="N36" i="20" s="1"/>
  <c r="K37" i="20"/>
  <c r="N37" i="20" s="1"/>
  <c r="K43" i="20"/>
  <c r="N43" i="20" s="1"/>
  <c r="K45" i="20"/>
  <c r="N45" i="20" s="1"/>
  <c r="K55" i="20"/>
  <c r="N55" i="20" s="1"/>
  <c r="K56" i="20"/>
  <c r="N56" i="20" s="1"/>
  <c r="K38" i="20"/>
  <c r="N38" i="20" s="1"/>
  <c r="K40" i="20"/>
  <c r="N40" i="20" s="1"/>
  <c r="K41" i="20"/>
  <c r="N41" i="20" s="1"/>
  <c r="K39" i="20"/>
  <c r="N39" i="20" s="1"/>
  <c r="K42" i="20"/>
  <c r="N42" i="20" s="1"/>
  <c r="K44" i="20"/>
  <c r="N44" i="20" s="1"/>
  <c r="K46" i="20"/>
  <c r="N46" i="20" s="1"/>
  <c r="K47" i="20"/>
  <c r="N47" i="20" s="1"/>
  <c r="K57" i="20"/>
  <c r="N57" i="20" s="1"/>
  <c r="K58" i="20"/>
  <c r="N58" i="20" s="1"/>
  <c r="K59" i="20"/>
  <c r="N59" i="20" s="1"/>
  <c r="K60" i="20"/>
  <c r="N60" i="20" s="1"/>
  <c r="K61" i="20"/>
  <c r="N61" i="20" s="1"/>
  <c r="K62" i="20"/>
  <c r="N62" i="20" s="1"/>
  <c r="K63" i="20"/>
  <c r="N63" i="20" s="1"/>
  <c r="K64" i="20"/>
  <c r="N64" i="20" s="1"/>
  <c r="K65" i="20"/>
  <c r="N65" i="20" s="1"/>
  <c r="K66" i="20"/>
  <c r="N66" i="20" s="1"/>
  <c r="K67" i="20"/>
  <c r="N67" i="20" s="1"/>
  <c r="K68" i="20"/>
  <c r="N68" i="20" s="1"/>
  <c r="K69" i="20"/>
  <c r="N69" i="20" s="1"/>
  <c r="M72" i="20"/>
  <c r="M73" i="20" s="1"/>
  <c r="L72" i="20"/>
  <c r="L73" i="20" s="1"/>
  <c r="D72" i="20"/>
  <c r="D73" i="20" s="1"/>
  <c r="E72" i="20"/>
  <c r="E73" i="20" s="1"/>
  <c r="F72" i="20"/>
  <c r="F73" i="20" s="1"/>
  <c r="G72" i="20"/>
  <c r="G73" i="20" s="1"/>
  <c r="H72" i="20"/>
  <c r="H73" i="20" s="1"/>
  <c r="I72" i="20"/>
  <c r="I73" i="20" s="1"/>
  <c r="J72" i="20"/>
  <c r="J73" i="20" s="1"/>
  <c r="D21" i="48"/>
  <c r="D22" i="48"/>
  <c r="D23" i="48"/>
  <c r="D24" i="48"/>
  <c r="C21" i="48"/>
  <c r="C22" i="48"/>
  <c r="C23" i="48"/>
  <c r="C24" i="48"/>
  <c r="B116" i="3"/>
  <c r="B117" i="3" s="1"/>
  <c r="R286" i="11"/>
  <c r="S286" i="11" s="1"/>
  <c r="R271" i="11"/>
  <c r="S271" i="11" s="1"/>
  <c r="R266" i="11"/>
  <c r="S266" i="11" s="1"/>
  <c r="E281" i="11"/>
  <c r="E282" i="11"/>
  <c r="J282" i="11" s="1"/>
  <c r="E283" i="11"/>
  <c r="J283" i="11" s="1"/>
  <c r="E284" i="11"/>
  <c r="J284" i="11" s="1"/>
  <c r="E285" i="11"/>
  <c r="J285" i="11" s="1"/>
  <c r="Q279" i="11"/>
  <c r="Q277" i="11"/>
  <c r="Q274" i="11"/>
  <c r="Q273" i="11"/>
  <c r="Q260" i="11"/>
  <c r="R43" i="11"/>
  <c r="S43" i="11" s="1"/>
  <c r="R28" i="11"/>
  <c r="S28" i="11" s="1"/>
  <c r="R23" i="11"/>
  <c r="S23" i="11" s="1"/>
  <c r="E39" i="11"/>
  <c r="J39" i="11" s="1"/>
  <c r="E40" i="11"/>
  <c r="J40" i="11" s="1"/>
  <c r="E41" i="11"/>
  <c r="J41" i="11" s="1"/>
  <c r="E42" i="11"/>
  <c r="J42" i="11" s="1"/>
  <c r="P36" i="11"/>
  <c r="Q36" i="11" s="1"/>
  <c r="Q31" i="11"/>
  <c r="P30" i="11"/>
  <c r="Q30" i="11" s="1"/>
  <c r="J22" i="11"/>
  <c r="Q17" i="11"/>
  <c r="P16" i="11"/>
  <c r="Q16" i="11" s="1"/>
  <c r="B90" i="11"/>
  <c r="G206" i="16"/>
  <c r="G175" i="16"/>
  <c r="G144" i="16"/>
  <c r="G114" i="16"/>
  <c r="G83" i="16"/>
  <c r="G76" i="16"/>
  <c r="I313" i="43"/>
  <c r="H313" i="43"/>
  <c r="I282" i="43"/>
  <c r="I288" i="43" s="1"/>
  <c r="I209" i="43"/>
  <c r="I223" i="43"/>
  <c r="J236" i="43"/>
  <c r="J237" i="43"/>
  <c r="I236" i="35" s="1"/>
  <c r="J238" i="43"/>
  <c r="I237" i="35" s="1"/>
  <c r="J241" i="43"/>
  <c r="I240" i="35" s="1"/>
  <c r="J242" i="43"/>
  <c r="I241" i="35" s="1"/>
  <c r="I270" i="35"/>
  <c r="J279" i="43"/>
  <c r="I278" i="35" s="1"/>
  <c r="J250" i="43"/>
  <c r="I249" i="35" s="1"/>
  <c r="J249" i="35" s="1"/>
  <c r="J251" i="43"/>
  <c r="I250" i="35" s="1"/>
  <c r="J250" i="35" s="1"/>
  <c r="J255" i="43"/>
  <c r="I254" i="35" s="1"/>
  <c r="J254" i="35" s="1"/>
  <c r="J252" i="43"/>
  <c r="J257" i="43"/>
  <c r="I256" i="35" s="1"/>
  <c r="J256" i="35" s="1"/>
  <c r="J258" i="43"/>
  <c r="I257" i="35" s="1"/>
  <c r="J257" i="35" s="1"/>
  <c r="J259" i="43"/>
  <c r="I258" i="35" s="1"/>
  <c r="J258" i="35" s="1"/>
  <c r="J260" i="43"/>
  <c r="I259" i="35" s="1"/>
  <c r="J259" i="35" s="1"/>
  <c r="I261" i="35"/>
  <c r="I262" i="35"/>
  <c r="J272" i="43"/>
  <c r="I271" i="35" s="1"/>
  <c r="J274" i="43"/>
  <c r="I273" i="35" s="1"/>
  <c r="J276" i="43"/>
  <c r="J277" i="43"/>
  <c r="J280" i="43"/>
  <c r="I279" i="35" s="1"/>
  <c r="J273" i="43"/>
  <c r="I272" i="35" s="1"/>
  <c r="I282" i="35"/>
  <c r="H173" i="15"/>
  <c r="I173" i="15"/>
  <c r="J173" i="15"/>
  <c r="K173" i="15"/>
  <c r="L173" i="15"/>
  <c r="M173" i="15"/>
  <c r="N173" i="15"/>
  <c r="P173" i="15"/>
  <c r="G173" i="15"/>
  <c r="G296" i="35"/>
  <c r="H183" i="15"/>
  <c r="I183" i="15"/>
  <c r="J183" i="15"/>
  <c r="K183" i="15"/>
  <c r="L183" i="15"/>
  <c r="M183" i="15"/>
  <c r="N183" i="15"/>
  <c r="P183" i="15"/>
  <c r="G183" i="15"/>
  <c r="H120" i="15"/>
  <c r="H139" i="15"/>
  <c r="H160" i="15"/>
  <c r="I120" i="15"/>
  <c r="I139" i="15"/>
  <c r="I160" i="15"/>
  <c r="J120" i="15"/>
  <c r="J139" i="15"/>
  <c r="J160" i="15"/>
  <c r="K120" i="15"/>
  <c r="K139" i="15"/>
  <c r="K160" i="15"/>
  <c r="L120" i="15"/>
  <c r="L139" i="15"/>
  <c r="L160" i="15"/>
  <c r="M120" i="15"/>
  <c r="M139" i="15"/>
  <c r="M160" i="15"/>
  <c r="N120" i="15"/>
  <c r="N139" i="15"/>
  <c r="N160" i="15"/>
  <c r="P120" i="15"/>
  <c r="P139" i="15"/>
  <c r="P160" i="15"/>
  <c r="H92" i="15"/>
  <c r="H105" i="15"/>
  <c r="I37" i="15"/>
  <c r="I60" i="15" s="1"/>
  <c r="I92" i="15"/>
  <c r="I105" i="15"/>
  <c r="J37" i="15"/>
  <c r="J92" i="15"/>
  <c r="J105" i="15"/>
  <c r="K37" i="15"/>
  <c r="K92" i="15"/>
  <c r="K105" i="15"/>
  <c r="L37" i="15"/>
  <c r="L76" i="15"/>
  <c r="L92" i="15"/>
  <c r="L105" i="15"/>
  <c r="M37" i="15"/>
  <c r="M76" i="15"/>
  <c r="M92" i="15"/>
  <c r="N37" i="15"/>
  <c r="N76" i="15"/>
  <c r="N92" i="15"/>
  <c r="N105" i="15"/>
  <c r="P76" i="15"/>
  <c r="P92" i="15"/>
  <c r="P105" i="15"/>
  <c r="H25" i="42"/>
  <c r="N258" i="9"/>
  <c r="H42" i="42"/>
  <c r="H38" i="42"/>
  <c r="H39" i="42"/>
  <c r="H40" i="42"/>
  <c r="H37" i="42"/>
  <c r="H33" i="42"/>
  <c r="H34" i="42"/>
  <c r="H35" i="42"/>
  <c r="H32" i="42"/>
  <c r="H28" i="42"/>
  <c r="H27" i="42"/>
  <c r="H24" i="42"/>
  <c r="H23" i="42"/>
  <c r="H22" i="42"/>
  <c r="H19" i="42"/>
  <c r="K51" i="49"/>
  <c r="D51" i="49"/>
  <c r="F51" i="49"/>
  <c r="G51" i="49"/>
  <c r="H51" i="49"/>
  <c r="I51" i="49"/>
  <c r="J51" i="49"/>
  <c r="D13" i="49"/>
  <c r="E13" i="49"/>
  <c r="F13" i="49"/>
  <c r="G13" i="49"/>
  <c r="H13" i="49"/>
  <c r="I13" i="49"/>
  <c r="J13" i="49"/>
  <c r="D14" i="49"/>
  <c r="E14" i="49"/>
  <c r="F14" i="49"/>
  <c r="G14" i="49"/>
  <c r="H14" i="49"/>
  <c r="I14" i="49"/>
  <c r="J14" i="49"/>
  <c r="C14" i="49"/>
  <c r="C13" i="49"/>
  <c r="I316" i="43"/>
  <c r="I317" i="43"/>
  <c r="I320" i="43"/>
  <c r="I321" i="43"/>
  <c r="I322" i="43"/>
  <c r="I323" i="43"/>
  <c r="I325" i="43"/>
  <c r="I328" i="43"/>
  <c r="I329" i="43"/>
  <c r="H329" i="43"/>
  <c r="H328" i="43"/>
  <c r="H325" i="43"/>
  <c r="H322" i="43"/>
  <c r="H321" i="43"/>
  <c r="H320" i="43"/>
  <c r="H176" i="15"/>
  <c r="I176" i="15"/>
  <c r="J176" i="15"/>
  <c r="K176" i="15"/>
  <c r="L176" i="15"/>
  <c r="M176" i="15"/>
  <c r="N176" i="15"/>
  <c r="P176" i="15"/>
  <c r="H178" i="15"/>
  <c r="I178" i="15"/>
  <c r="J178" i="15"/>
  <c r="K178" i="15"/>
  <c r="L178" i="15"/>
  <c r="M178" i="15"/>
  <c r="N178" i="15"/>
  <c r="P178" i="15"/>
  <c r="H179" i="15"/>
  <c r="I179" i="15"/>
  <c r="J179" i="15"/>
  <c r="K179" i="15"/>
  <c r="L179" i="15"/>
  <c r="M179" i="15"/>
  <c r="N179" i="15"/>
  <c r="P179" i="15"/>
  <c r="H180" i="15"/>
  <c r="I180" i="15"/>
  <c r="J180" i="15"/>
  <c r="K180" i="15"/>
  <c r="L180" i="15"/>
  <c r="M180" i="15"/>
  <c r="N180" i="15"/>
  <c r="P180" i="15"/>
  <c r="H181" i="15"/>
  <c r="I181" i="15"/>
  <c r="J181" i="15"/>
  <c r="K181" i="15"/>
  <c r="L181" i="15"/>
  <c r="M181" i="15"/>
  <c r="N181" i="15"/>
  <c r="P181" i="15"/>
  <c r="H182" i="15"/>
  <c r="I182" i="15"/>
  <c r="J182" i="15"/>
  <c r="K182" i="15"/>
  <c r="L182" i="15"/>
  <c r="M182" i="15"/>
  <c r="N182" i="15"/>
  <c r="P182" i="15"/>
  <c r="H184" i="15"/>
  <c r="I184" i="15"/>
  <c r="J184" i="15"/>
  <c r="K184" i="15"/>
  <c r="L184" i="15"/>
  <c r="M184" i="15"/>
  <c r="N184" i="15"/>
  <c r="P184" i="15"/>
  <c r="H185" i="15"/>
  <c r="I185" i="15"/>
  <c r="J185" i="15"/>
  <c r="K185" i="15"/>
  <c r="L185" i="15"/>
  <c r="M185" i="15"/>
  <c r="N185" i="15"/>
  <c r="P185" i="15"/>
  <c r="G185" i="15"/>
  <c r="G184" i="15"/>
  <c r="G182" i="15"/>
  <c r="G181" i="15"/>
  <c r="G180" i="15"/>
  <c r="G179" i="15"/>
  <c r="K68" i="28"/>
  <c r="K67" i="28"/>
  <c r="K66" i="28"/>
  <c r="K65" i="28"/>
  <c r="K64" i="28"/>
  <c r="K63" i="28"/>
  <c r="K62" i="28"/>
  <c r="K61" i="28"/>
  <c r="K60" i="28"/>
  <c r="K59" i="28"/>
  <c r="K58" i="28"/>
  <c r="K57" i="28"/>
  <c r="K56" i="28"/>
  <c r="K55" i="28"/>
  <c r="K54" i="28"/>
  <c r="K53" i="28"/>
  <c r="K52" i="28"/>
  <c r="K51" i="28"/>
  <c r="I36" i="48"/>
  <c r="H36" i="48"/>
  <c r="N29" i="3"/>
  <c r="B29" i="3" s="1"/>
  <c r="G294" i="35"/>
  <c r="G293" i="35"/>
  <c r="G316" i="35"/>
  <c r="G315" i="35"/>
  <c r="G314" i="35"/>
  <c r="G312" i="35"/>
  <c r="G311" i="35"/>
  <c r="G308" i="35"/>
  <c r="G306" i="35"/>
  <c r="G305" i="35"/>
  <c r="G304" i="35"/>
  <c r="A394" i="11"/>
  <c r="A395" i="11"/>
  <c r="A396" i="11"/>
  <c r="A397" i="11"/>
  <c r="A398" i="11"/>
  <c r="A399" i="11"/>
  <c r="A400" i="11"/>
  <c r="A401" i="11"/>
  <c r="A402" i="11"/>
  <c r="A403" i="11"/>
  <c r="A404" i="11"/>
  <c r="A405" i="11"/>
  <c r="A406" i="11"/>
  <c r="A393" i="11"/>
  <c r="A297" i="11"/>
  <c r="A298" i="11"/>
  <c r="A299" i="11"/>
  <c r="A300" i="11"/>
  <c r="A301" i="11"/>
  <c r="A302" i="11"/>
  <c r="A303" i="11"/>
  <c r="A304" i="11"/>
  <c r="A305" i="11"/>
  <c r="A306" i="11"/>
  <c r="A307" i="11"/>
  <c r="A308" i="11"/>
  <c r="A309" i="11"/>
  <c r="A296" i="11"/>
  <c r="A211" i="11"/>
  <c r="A410" i="11"/>
  <c r="A409" i="11"/>
  <c r="A281" i="11"/>
  <c r="A283" i="11"/>
  <c r="H129" i="35"/>
  <c r="D146" i="27"/>
  <c r="E146" i="27"/>
  <c r="F146" i="27"/>
  <c r="G146" i="27"/>
  <c r="H146" i="27"/>
  <c r="I146" i="27"/>
  <c r="J146" i="27"/>
  <c r="D126" i="27"/>
  <c r="E126" i="27"/>
  <c r="F126" i="27"/>
  <c r="G126" i="27"/>
  <c r="H126" i="27"/>
  <c r="I126" i="27"/>
  <c r="J126" i="27"/>
  <c r="C126" i="27"/>
  <c r="D108" i="27"/>
  <c r="E108" i="27"/>
  <c r="F108" i="27"/>
  <c r="G108" i="27"/>
  <c r="H108" i="27"/>
  <c r="I108" i="27"/>
  <c r="J108" i="27"/>
  <c r="C108" i="27"/>
  <c r="M108" i="25"/>
  <c r="D108" i="25"/>
  <c r="E108" i="25"/>
  <c r="F108" i="25"/>
  <c r="G108" i="25"/>
  <c r="H108" i="25"/>
  <c r="I108" i="25"/>
  <c r="J108" i="25"/>
  <c r="L108" i="25"/>
  <c r="C108" i="25"/>
  <c r="M50" i="25"/>
  <c r="D50" i="25"/>
  <c r="E50" i="25"/>
  <c r="F50" i="25"/>
  <c r="G50" i="25"/>
  <c r="H50" i="25"/>
  <c r="I50" i="25"/>
  <c r="J50" i="25"/>
  <c r="L50" i="25"/>
  <c r="L26" i="25"/>
  <c r="D26" i="25"/>
  <c r="E26" i="25"/>
  <c r="F26" i="25"/>
  <c r="G26" i="25"/>
  <c r="H26" i="25"/>
  <c r="I26" i="25"/>
  <c r="J26" i="25"/>
  <c r="M26" i="25"/>
  <c r="C26" i="25"/>
  <c r="M70" i="20"/>
  <c r="E20" i="20"/>
  <c r="F20" i="20"/>
  <c r="G20" i="20"/>
  <c r="H20" i="20"/>
  <c r="I20" i="20"/>
  <c r="J20" i="20"/>
  <c r="D21" i="20"/>
  <c r="D32" i="20" s="1"/>
  <c r="E21" i="20"/>
  <c r="E32" i="20" s="1"/>
  <c r="F21" i="20"/>
  <c r="F32" i="20" s="1"/>
  <c r="G21" i="20"/>
  <c r="G32" i="20" s="1"/>
  <c r="H21" i="20"/>
  <c r="H32" i="20" s="1"/>
  <c r="I21" i="20"/>
  <c r="I32" i="20" s="1"/>
  <c r="J21" i="20"/>
  <c r="J32" i="20" s="1"/>
  <c r="C21" i="20"/>
  <c r="F279" i="11"/>
  <c r="E279" i="11"/>
  <c r="E276" i="11"/>
  <c r="E274" i="11"/>
  <c r="F274" i="11"/>
  <c r="F296" i="11" s="1"/>
  <c r="E273" i="11"/>
  <c r="J273" i="11" s="1"/>
  <c r="F260" i="11"/>
  <c r="A282" i="11"/>
  <c r="A284" i="11"/>
  <c r="A285" i="11"/>
  <c r="F102" i="42"/>
  <c r="F104" i="42" s="1"/>
  <c r="F36" i="11"/>
  <c r="E36" i="11"/>
  <c r="E33" i="11"/>
  <c r="F31" i="11"/>
  <c r="F109" i="11" s="1"/>
  <c r="F30" i="11"/>
  <c r="J30" i="11"/>
  <c r="F23" i="11"/>
  <c r="F17" i="11"/>
  <c r="F131" i="11" s="1"/>
  <c r="F16" i="11"/>
  <c r="A43" i="2"/>
  <c r="A44" i="2"/>
  <c r="L36" i="23"/>
  <c r="M46" i="23"/>
  <c r="L70" i="20"/>
  <c r="C266" i="11"/>
  <c r="C287" i="11" s="1"/>
  <c r="D266" i="11"/>
  <c r="D287" i="11" s="1"/>
  <c r="C271" i="11"/>
  <c r="D271" i="11"/>
  <c r="C286" i="11"/>
  <c r="D286" i="11"/>
  <c r="D297" i="11"/>
  <c r="D298" i="11"/>
  <c r="D299" i="11"/>
  <c r="D300" i="11"/>
  <c r="D301" i="11"/>
  <c r="D302" i="11"/>
  <c r="D303" i="11"/>
  <c r="D304" i="11"/>
  <c r="D305" i="11"/>
  <c r="D306" i="11"/>
  <c r="D307" i="11"/>
  <c r="D308" i="11"/>
  <c r="D309" i="11"/>
  <c r="C146" i="27"/>
  <c r="B82" i="11"/>
  <c r="B83" i="11"/>
  <c r="B84" i="11"/>
  <c r="B85" i="11"/>
  <c r="B86" i="11"/>
  <c r="A83" i="11"/>
  <c r="A84" i="11"/>
  <c r="A85" i="11"/>
  <c r="A86" i="11"/>
  <c r="A82" i="11"/>
  <c r="B70" i="11"/>
  <c r="B71" i="11"/>
  <c r="B69" i="11"/>
  <c r="B66" i="11"/>
  <c r="B67" i="11" s="1"/>
  <c r="D23" i="11"/>
  <c r="D44" i="11" s="1"/>
  <c r="D28" i="11"/>
  <c r="C23" i="11"/>
  <c r="C28" i="11"/>
  <c r="D120" i="11"/>
  <c r="D121" i="11"/>
  <c r="D122" i="11"/>
  <c r="D110" i="11"/>
  <c r="D111" i="11"/>
  <c r="D112" i="11"/>
  <c r="D113" i="11"/>
  <c r="D114" i="11"/>
  <c r="D115" i="11"/>
  <c r="D116" i="11"/>
  <c r="D117" i="11"/>
  <c r="D118" i="11"/>
  <c r="D119" i="11"/>
  <c r="J70" i="20"/>
  <c r="J78" i="20" s="1"/>
  <c r="D70" i="20"/>
  <c r="D78" i="20" s="1"/>
  <c r="E70" i="20"/>
  <c r="E78" i="20" s="1"/>
  <c r="F70" i="20"/>
  <c r="F78" i="20" s="1"/>
  <c r="G70" i="20"/>
  <c r="G78" i="20" s="1"/>
  <c r="H70" i="20"/>
  <c r="H78" i="20" s="1"/>
  <c r="I70" i="20"/>
  <c r="I78" i="20" s="1"/>
  <c r="C78" i="20"/>
  <c r="K90" i="20"/>
  <c r="K91" i="20"/>
  <c r="K92" i="20"/>
  <c r="K93" i="20"/>
  <c r="K94" i="20"/>
  <c r="K95" i="20"/>
  <c r="K96" i="20"/>
  <c r="K97" i="20"/>
  <c r="K98" i="20"/>
  <c r="K99" i="20"/>
  <c r="K100" i="20"/>
  <c r="K101" i="20"/>
  <c r="K102" i="20"/>
  <c r="K103" i="20"/>
  <c r="K105" i="20"/>
  <c r="K106" i="20"/>
  <c r="K107" i="20"/>
  <c r="K108" i="20"/>
  <c r="K109" i="20"/>
  <c r="J110" i="20"/>
  <c r="I110" i="20"/>
  <c r="H110" i="20"/>
  <c r="G110" i="20"/>
  <c r="F110" i="20"/>
  <c r="E110" i="20"/>
  <c r="D110" i="20"/>
  <c r="C110" i="20"/>
  <c r="D16" i="21"/>
  <c r="E16" i="21"/>
  <c r="F16" i="21"/>
  <c r="G16" i="21"/>
  <c r="H16" i="21"/>
  <c r="I16" i="21"/>
  <c r="J16" i="21"/>
  <c r="D17" i="21"/>
  <c r="E17" i="21"/>
  <c r="F17" i="21"/>
  <c r="G17" i="21"/>
  <c r="H17" i="21"/>
  <c r="I17" i="21"/>
  <c r="J17" i="21"/>
  <c r="C17" i="21"/>
  <c r="C16" i="21"/>
  <c r="D14" i="22"/>
  <c r="E14" i="22"/>
  <c r="F14" i="22"/>
  <c r="G14" i="22"/>
  <c r="D15" i="22"/>
  <c r="E15" i="22"/>
  <c r="F15" i="22"/>
  <c r="G15" i="22"/>
  <c r="C14" i="22"/>
  <c r="J36" i="23"/>
  <c r="J46" i="23"/>
  <c r="J17" i="23"/>
  <c r="J16" i="23"/>
  <c r="E36" i="23"/>
  <c r="E46" i="23"/>
  <c r="F36" i="23"/>
  <c r="F46" i="23"/>
  <c r="G36" i="23"/>
  <c r="G46" i="23"/>
  <c r="H36" i="23"/>
  <c r="H57" i="23" s="1"/>
  <c r="H46" i="23"/>
  <c r="I36" i="23"/>
  <c r="I46" i="23"/>
  <c r="D36" i="23"/>
  <c r="D16" i="23"/>
  <c r="E16" i="23"/>
  <c r="F16" i="23"/>
  <c r="G16" i="23"/>
  <c r="H16" i="23"/>
  <c r="I16" i="23"/>
  <c r="D17" i="23"/>
  <c r="E17" i="23"/>
  <c r="F17" i="23"/>
  <c r="G17" i="23"/>
  <c r="H17" i="23"/>
  <c r="I17" i="23"/>
  <c r="C17" i="23"/>
  <c r="C16" i="23"/>
  <c r="J16" i="25"/>
  <c r="J15" i="25"/>
  <c r="D15" i="25"/>
  <c r="E15" i="25"/>
  <c r="F15" i="25"/>
  <c r="G15" i="25"/>
  <c r="H15" i="25"/>
  <c r="I15" i="25"/>
  <c r="D16" i="25"/>
  <c r="E16" i="25"/>
  <c r="F16" i="25"/>
  <c r="G16" i="25"/>
  <c r="H16" i="25"/>
  <c r="I16" i="25"/>
  <c r="C16" i="25"/>
  <c r="C15" i="25"/>
  <c r="J17" i="26"/>
  <c r="J18" i="26"/>
  <c r="D17" i="26"/>
  <c r="E17" i="26"/>
  <c r="E20" i="26" s="1"/>
  <c r="E22" i="26" s="1"/>
  <c r="F17" i="26"/>
  <c r="F20" i="26" s="1"/>
  <c r="F22" i="26" s="1"/>
  <c r="G17" i="26"/>
  <c r="G20" i="26" s="1"/>
  <c r="G22" i="26" s="1"/>
  <c r="H17" i="26"/>
  <c r="H20" i="26" s="1"/>
  <c r="H22" i="26" s="1"/>
  <c r="I17" i="26"/>
  <c r="I20" i="26" s="1"/>
  <c r="I22" i="26" s="1"/>
  <c r="D18" i="26"/>
  <c r="E18" i="26"/>
  <c r="F18" i="26"/>
  <c r="G18" i="26"/>
  <c r="H18" i="26"/>
  <c r="I18" i="26"/>
  <c r="C18" i="26"/>
  <c r="C17" i="26"/>
  <c r="E52" i="26"/>
  <c r="F52" i="26"/>
  <c r="H52" i="26"/>
  <c r="K51" i="26"/>
  <c r="K48" i="26"/>
  <c r="K52" i="26" s="1"/>
  <c r="K49" i="26"/>
  <c r="D14" i="27"/>
  <c r="E14" i="27"/>
  <c r="F14" i="27"/>
  <c r="G14" i="27"/>
  <c r="H14" i="27"/>
  <c r="I14" i="27"/>
  <c r="I19" i="27" s="1"/>
  <c r="J14" i="27"/>
  <c r="J19" i="27" s="1"/>
  <c r="D15" i="27"/>
  <c r="E15" i="27"/>
  <c r="F15" i="27"/>
  <c r="G15" i="27"/>
  <c r="H15" i="27"/>
  <c r="I15" i="27"/>
  <c r="J15" i="27"/>
  <c r="C15" i="27"/>
  <c r="C14" i="27"/>
  <c r="J24" i="28"/>
  <c r="J25" i="28"/>
  <c r="D24" i="28"/>
  <c r="E24" i="28"/>
  <c r="F24" i="28"/>
  <c r="G24" i="28"/>
  <c r="H24" i="28"/>
  <c r="I24" i="28"/>
  <c r="D25" i="28"/>
  <c r="E25" i="28"/>
  <c r="F25" i="28"/>
  <c r="G25" i="28"/>
  <c r="H25" i="28"/>
  <c r="I25" i="28"/>
  <c r="C25" i="28"/>
  <c r="C24" i="28"/>
  <c r="K30" i="28"/>
  <c r="K31" i="28"/>
  <c r="K32" i="28"/>
  <c r="K33" i="28"/>
  <c r="K34" i="28"/>
  <c r="K35" i="28"/>
  <c r="K36" i="28"/>
  <c r="K37" i="28"/>
  <c r="K38" i="28"/>
  <c r="K39" i="28"/>
  <c r="K40" i="28"/>
  <c r="K41" i="28"/>
  <c r="K42" i="28"/>
  <c r="K43" i="28"/>
  <c r="K44" i="28"/>
  <c r="K45" i="28"/>
  <c r="K46" i="28"/>
  <c r="K29" i="28"/>
  <c r="G142" i="65"/>
  <c r="C44" i="11" l="1"/>
  <c r="G411" i="11"/>
  <c r="P286" i="11"/>
  <c r="J21" i="11"/>
  <c r="P23" i="11"/>
  <c r="Q23" i="11" s="1"/>
  <c r="N28" i="22"/>
  <c r="M28" i="35"/>
  <c r="G228" i="35"/>
  <c r="G286" i="35" s="1"/>
  <c r="L29" i="35"/>
  <c r="M29" i="35" s="1"/>
  <c r="K35" i="35"/>
  <c r="L86" i="35"/>
  <c r="K90" i="35"/>
  <c r="Q71" i="15"/>
  <c r="Q76" i="15" s="1"/>
  <c r="O76" i="15"/>
  <c r="Q97" i="15"/>
  <c r="H178" i="35" s="1"/>
  <c r="O105" i="15"/>
  <c r="B163" i="24"/>
  <c r="B165" i="24"/>
  <c r="J264" i="35"/>
  <c r="Q264" i="35"/>
  <c r="R264" i="35" s="1"/>
  <c r="S264" i="35" s="1"/>
  <c r="D20" i="26"/>
  <c r="D22" i="26" s="1"/>
  <c r="D42" i="26"/>
  <c r="Q34" i="15"/>
  <c r="Q37" i="15" s="1"/>
  <c r="O37" i="15"/>
  <c r="Q89" i="15"/>
  <c r="H165" i="35" s="1"/>
  <c r="J165" i="35" s="1"/>
  <c r="P20" i="25"/>
  <c r="K26" i="25"/>
  <c r="Q86" i="15"/>
  <c r="Q26" i="15"/>
  <c r="H56" i="35" s="1"/>
  <c r="Q87" i="15"/>
  <c r="H163" i="35" s="1"/>
  <c r="M273" i="35"/>
  <c r="N273" i="35" s="1"/>
  <c r="M224" i="35"/>
  <c r="N224" i="35" s="1"/>
  <c r="C110" i="53"/>
  <c r="I174" i="35"/>
  <c r="J189" i="43"/>
  <c r="I143" i="35"/>
  <c r="J149" i="43"/>
  <c r="F318" i="11"/>
  <c r="F287" i="11"/>
  <c r="I235" i="35"/>
  <c r="I243" i="35" s="1"/>
  <c r="J244" i="43"/>
  <c r="J83" i="43"/>
  <c r="J133" i="43"/>
  <c r="J223" i="43"/>
  <c r="J209" i="43"/>
  <c r="I162" i="35"/>
  <c r="I171" i="35" s="1"/>
  <c r="J172" i="43"/>
  <c r="C46" i="48"/>
  <c r="C47" i="48" s="1"/>
  <c r="F44" i="11"/>
  <c r="U272" i="35"/>
  <c r="G291" i="64"/>
  <c r="N72" i="20"/>
  <c r="L222" i="35"/>
  <c r="M219" i="35"/>
  <c r="D60" i="11"/>
  <c r="G119" i="9"/>
  <c r="G148" i="9" s="1"/>
  <c r="G94" i="9"/>
  <c r="J281" i="11"/>
  <c r="E286" i="11"/>
  <c r="E287" i="11" s="1"/>
  <c r="B72" i="11"/>
  <c r="B88" i="11" s="1"/>
  <c r="E23" i="11"/>
  <c r="I191" i="43"/>
  <c r="I195" i="43" s="1"/>
  <c r="M367" i="9"/>
  <c r="J88" i="9"/>
  <c r="J35" i="16"/>
  <c r="L158" i="35"/>
  <c r="K171" i="35"/>
  <c r="AA48" i="66"/>
  <c r="P280" i="35"/>
  <c r="AC44" i="66"/>
  <c r="AD41" i="66"/>
  <c r="AD40" i="66"/>
  <c r="AA9" i="66"/>
  <c r="AA62" i="66" s="1"/>
  <c r="AC8" i="66"/>
  <c r="AC9" i="66" s="1"/>
  <c r="J40" i="27"/>
  <c r="J24" i="27"/>
  <c r="J86" i="27"/>
  <c r="J90" i="27"/>
  <c r="C20" i="26"/>
  <c r="C22" i="26" s="1"/>
  <c r="K110" i="20"/>
  <c r="E25" i="20"/>
  <c r="E27" i="20"/>
  <c r="E117" i="20"/>
  <c r="E114" i="20"/>
  <c r="I65" i="35"/>
  <c r="I69" i="35" s="1"/>
  <c r="J69" i="43"/>
  <c r="D25" i="20"/>
  <c r="D27" i="20"/>
  <c r="D117" i="20"/>
  <c r="D114" i="20"/>
  <c r="H33" i="35"/>
  <c r="Q110" i="15"/>
  <c r="H24" i="27"/>
  <c r="H19" i="27"/>
  <c r="H86" i="27"/>
  <c r="H40" i="27"/>
  <c r="H90" i="27"/>
  <c r="C25" i="20"/>
  <c r="C117" i="20"/>
  <c r="C114" i="20"/>
  <c r="C27" i="20"/>
  <c r="G24" i="27"/>
  <c r="G19" i="27"/>
  <c r="G86" i="27"/>
  <c r="G90" i="27"/>
  <c r="G40" i="27"/>
  <c r="J25" i="20"/>
  <c r="J27" i="20"/>
  <c r="J117" i="20"/>
  <c r="J114" i="20"/>
  <c r="I75" i="35"/>
  <c r="J75" i="35" s="1"/>
  <c r="J19" i="16" s="1"/>
  <c r="I24" i="27"/>
  <c r="I86" i="27"/>
  <c r="I40" i="27"/>
  <c r="I90" i="27"/>
  <c r="I117" i="20"/>
  <c r="I114" i="20"/>
  <c r="I25" i="20"/>
  <c r="I27" i="20"/>
  <c r="E24" i="27"/>
  <c r="E40" i="27"/>
  <c r="E19" i="27"/>
  <c r="E86" i="27"/>
  <c r="E90" i="27"/>
  <c r="H25" i="20"/>
  <c r="H117" i="20"/>
  <c r="H27" i="20"/>
  <c r="H114" i="20"/>
  <c r="I248" i="35"/>
  <c r="I280" i="35" s="1"/>
  <c r="J281" i="43"/>
  <c r="G231" i="65"/>
  <c r="Q84" i="15"/>
  <c r="O92" i="15"/>
  <c r="O107" i="15" s="1"/>
  <c r="B389" i="3"/>
  <c r="D19" i="27"/>
  <c r="D40" i="27"/>
  <c r="D90" i="27"/>
  <c r="D86" i="27"/>
  <c r="G27" i="20"/>
  <c r="G25" i="20"/>
  <c r="G114" i="20"/>
  <c r="G117" i="20"/>
  <c r="G117" i="15"/>
  <c r="F24" i="27"/>
  <c r="F19" i="27"/>
  <c r="F86" i="27"/>
  <c r="F90" i="27"/>
  <c r="F40" i="27"/>
  <c r="C19" i="27"/>
  <c r="C40" i="27"/>
  <c r="C86" i="27"/>
  <c r="C90" i="27"/>
  <c r="F27" i="20"/>
  <c r="F117" i="20"/>
  <c r="F114" i="20"/>
  <c r="F25" i="20"/>
  <c r="J35" i="43"/>
  <c r="J122" i="43" s="1"/>
  <c r="L280" i="35"/>
  <c r="M280" i="35" s="1"/>
  <c r="O325" i="9"/>
  <c r="P325" i="9" s="1"/>
  <c r="J26" i="11"/>
  <c r="D124" i="11"/>
  <c r="I39" i="35"/>
  <c r="J39" i="35" s="1"/>
  <c r="G75" i="16" s="1"/>
  <c r="J43" i="43"/>
  <c r="J40" i="35"/>
  <c r="J44" i="16" s="1"/>
  <c r="L39" i="35"/>
  <c r="K43" i="35"/>
  <c r="J20" i="26"/>
  <c r="J22" i="26" s="1"/>
  <c r="J42" i="26"/>
  <c r="F57" i="23"/>
  <c r="I57" i="23"/>
  <c r="G57" i="23"/>
  <c r="M59" i="23"/>
  <c r="M60" i="23" s="1"/>
  <c r="L59" i="23"/>
  <c r="L60" i="23" s="1"/>
  <c r="G59" i="23"/>
  <c r="G60" i="23" s="1"/>
  <c r="J59" i="23"/>
  <c r="J60" i="23" s="1"/>
  <c r="D59" i="23"/>
  <c r="D60" i="23" s="1"/>
  <c r="F59" i="23"/>
  <c r="F60" i="23" s="1"/>
  <c r="I59" i="23"/>
  <c r="I60" i="23" s="1"/>
  <c r="E59" i="23"/>
  <c r="E60" i="23" s="1"/>
  <c r="H59" i="23"/>
  <c r="H60" i="23" s="1"/>
  <c r="P43" i="11"/>
  <c r="Q43" i="11" s="1"/>
  <c r="B87" i="11"/>
  <c r="D87" i="11" s="1"/>
  <c r="G42" i="26"/>
  <c r="E42" i="26"/>
  <c r="F42" i="26"/>
  <c r="I42" i="26"/>
  <c r="H42" i="26"/>
  <c r="J25" i="11"/>
  <c r="E43" i="11"/>
  <c r="J38" i="11"/>
  <c r="AD12" i="66"/>
  <c r="N102" i="25"/>
  <c r="P102" i="25"/>
  <c r="N41" i="25"/>
  <c r="N52" i="25" s="1"/>
  <c r="N20" i="25"/>
  <c r="N28" i="25" s="1"/>
  <c r="AA11" i="68"/>
  <c r="AA13" i="68" s="1"/>
  <c r="M413" i="11"/>
  <c r="I34" i="35"/>
  <c r="J34" i="35" s="1"/>
  <c r="I31" i="35"/>
  <c r="J31" i="35" s="1"/>
  <c r="I30" i="35"/>
  <c r="J30" i="35" s="1"/>
  <c r="G113" i="16" s="1"/>
  <c r="I28" i="35"/>
  <c r="Q159" i="15"/>
  <c r="H279" i="35" s="1"/>
  <c r="Q279" i="35" s="1"/>
  <c r="R279" i="35" s="1"/>
  <c r="S279" i="35" s="1"/>
  <c r="Q158" i="15"/>
  <c r="H278" i="35" s="1"/>
  <c r="J278" i="35" s="1"/>
  <c r="G201" i="64"/>
  <c r="I184" i="35"/>
  <c r="I309" i="35" s="1"/>
  <c r="I183" i="35"/>
  <c r="I308" i="35" s="1"/>
  <c r="E56" i="22"/>
  <c r="A50" i="11"/>
  <c r="J27" i="11"/>
  <c r="J87" i="9"/>
  <c r="I171" i="15"/>
  <c r="B17" i="3"/>
  <c r="B18" i="3" s="1"/>
  <c r="O184" i="15"/>
  <c r="J329" i="43"/>
  <c r="P171" i="15"/>
  <c r="O173" i="15"/>
  <c r="O182" i="15"/>
  <c r="J236" i="35"/>
  <c r="O185" i="15"/>
  <c r="F56" i="22"/>
  <c r="E28" i="22"/>
  <c r="D28" i="22"/>
  <c r="O179" i="15"/>
  <c r="J317" i="43"/>
  <c r="I187" i="35"/>
  <c r="I312" i="35" s="1"/>
  <c r="D15" i="48"/>
  <c r="I311" i="35"/>
  <c r="J322" i="43"/>
  <c r="G28" i="22"/>
  <c r="J328" i="43"/>
  <c r="J320" i="43"/>
  <c r="O183" i="15"/>
  <c r="K16" i="49"/>
  <c r="B50" i="68"/>
  <c r="AD47" i="66"/>
  <c r="G56" i="22"/>
  <c r="N60" i="15"/>
  <c r="M60" i="15"/>
  <c r="G258" i="64"/>
  <c r="B22" i="3"/>
  <c r="J74" i="27"/>
  <c r="J80" i="27"/>
  <c r="I74" i="27"/>
  <c r="I80" i="27"/>
  <c r="H74" i="27"/>
  <c r="H80" i="27"/>
  <c r="G80" i="27"/>
  <c r="G74" i="27"/>
  <c r="F74" i="27"/>
  <c r="F80" i="27"/>
  <c r="E80" i="27"/>
  <c r="E74" i="27"/>
  <c r="D74" i="27"/>
  <c r="D80" i="27"/>
  <c r="C80" i="27"/>
  <c r="C74" i="27"/>
  <c r="J31" i="20"/>
  <c r="I31" i="20"/>
  <c r="G31" i="20"/>
  <c r="F31" i="20"/>
  <c r="E31" i="20"/>
  <c r="H31" i="20"/>
  <c r="D31" i="20"/>
  <c r="C31" i="20"/>
  <c r="G176" i="65"/>
  <c r="K108" i="25"/>
  <c r="L16" i="49"/>
  <c r="L40" i="49" s="1"/>
  <c r="L41" i="49" s="1"/>
  <c r="O180" i="15"/>
  <c r="C19" i="53"/>
  <c r="C21" i="53"/>
  <c r="C23" i="53"/>
  <c r="C25" i="53"/>
  <c r="C27" i="53"/>
  <c r="M63" i="35"/>
  <c r="D29" i="53" s="1"/>
  <c r="M66" i="35"/>
  <c r="D31" i="53" s="1"/>
  <c r="C33" i="53"/>
  <c r="C38" i="53"/>
  <c r="M126" i="35"/>
  <c r="N126" i="35" s="1"/>
  <c r="M128" i="35"/>
  <c r="N128" i="35" s="1"/>
  <c r="M134" i="35"/>
  <c r="D47" i="53" s="1"/>
  <c r="M154" i="35"/>
  <c r="N154" i="35" s="1"/>
  <c r="M159" i="35"/>
  <c r="N159" i="35" s="1"/>
  <c r="M163" i="35"/>
  <c r="N163" i="35" s="1"/>
  <c r="M165" i="35"/>
  <c r="N165" i="35" s="1"/>
  <c r="M170" i="35"/>
  <c r="N170" i="35" s="1"/>
  <c r="M179" i="35"/>
  <c r="N179" i="35" s="1"/>
  <c r="M181" i="35"/>
  <c r="N181" i="35" s="1"/>
  <c r="M184" i="35"/>
  <c r="N184" i="35" s="1"/>
  <c r="M187" i="35"/>
  <c r="N187" i="35" s="1"/>
  <c r="C18" i="53"/>
  <c r="M48" i="35"/>
  <c r="D20" i="53" s="1"/>
  <c r="C22" i="53"/>
  <c r="C24" i="53"/>
  <c r="M58" i="35"/>
  <c r="D26" i="53" s="1"/>
  <c r="C28" i="53"/>
  <c r="C30" i="53"/>
  <c r="M68" i="35"/>
  <c r="D32" i="53" s="1"/>
  <c r="M72" i="35"/>
  <c r="D34" i="53" s="1"/>
  <c r="M127" i="35"/>
  <c r="N127" i="35" s="1"/>
  <c r="M130" i="35"/>
  <c r="N130" i="35" s="1"/>
  <c r="M135" i="35"/>
  <c r="N135" i="35" s="1"/>
  <c r="M144" i="35"/>
  <c r="N144" i="35" s="1"/>
  <c r="M146" i="35"/>
  <c r="N146" i="35" s="1"/>
  <c r="M150" i="35"/>
  <c r="D59" i="53" s="1"/>
  <c r="M153" i="35"/>
  <c r="N153" i="35" s="1"/>
  <c r="M169" i="35"/>
  <c r="N169" i="35" s="1"/>
  <c r="M180" i="35"/>
  <c r="N180" i="35" s="1"/>
  <c r="M183" i="35"/>
  <c r="N183" i="35" s="1"/>
  <c r="M186" i="35"/>
  <c r="N186" i="35" s="1"/>
  <c r="M236" i="35"/>
  <c r="N236" i="35" s="1"/>
  <c r="M240" i="35"/>
  <c r="D98" i="53" s="1"/>
  <c r="M248" i="35"/>
  <c r="D100" i="53" s="1"/>
  <c r="M250" i="35"/>
  <c r="N250" i="35" s="1"/>
  <c r="M253" i="35"/>
  <c r="D103" i="53" s="1"/>
  <c r="M256" i="35"/>
  <c r="D105" i="53" s="1"/>
  <c r="M258" i="35"/>
  <c r="D107" i="53" s="1"/>
  <c r="M261" i="35"/>
  <c r="D109" i="53" s="1"/>
  <c r="D112" i="53"/>
  <c r="M278" i="35"/>
  <c r="D117" i="53" s="1"/>
  <c r="M119" i="35"/>
  <c r="D41" i="53" s="1"/>
  <c r="C90" i="53"/>
  <c r="G175" i="65"/>
  <c r="I305" i="35"/>
  <c r="I306" i="35"/>
  <c r="M171" i="15"/>
  <c r="D94" i="9"/>
  <c r="D150" i="9" s="1"/>
  <c r="J323" i="43"/>
  <c r="I311" i="43"/>
  <c r="J316" i="43"/>
  <c r="I296" i="35"/>
  <c r="J313" i="43"/>
  <c r="O181" i="15"/>
  <c r="O120" i="15"/>
  <c r="O160" i="15"/>
  <c r="D71" i="11"/>
  <c r="D77" i="11"/>
  <c r="I208" i="35"/>
  <c r="G70" i="16"/>
  <c r="G145" i="16"/>
  <c r="C72" i="11"/>
  <c r="J60" i="15"/>
  <c r="A324" i="9"/>
  <c r="J130" i="9"/>
  <c r="J127" i="9"/>
  <c r="E229" i="11"/>
  <c r="J92" i="35"/>
  <c r="I16" i="49"/>
  <c r="D311" i="11"/>
  <c r="D74" i="11"/>
  <c r="D69" i="11"/>
  <c r="J103" i="9"/>
  <c r="J123" i="9"/>
  <c r="J107" i="9"/>
  <c r="J97" i="9"/>
  <c r="J90" i="9"/>
  <c r="I226" i="43"/>
  <c r="I299" i="35"/>
  <c r="G176" i="16"/>
  <c r="L171" i="15"/>
  <c r="L60" i="15"/>
  <c r="K107" i="15"/>
  <c r="K60" i="15"/>
  <c r="E16" i="49"/>
  <c r="O176" i="15"/>
  <c r="Q92" i="35"/>
  <c r="D65" i="11"/>
  <c r="D80" i="11"/>
  <c r="D75" i="11"/>
  <c r="D90" i="11"/>
  <c r="C26" i="53"/>
  <c r="D66" i="11"/>
  <c r="D78" i="11"/>
  <c r="J91" i="9"/>
  <c r="J99" i="9"/>
  <c r="J100" i="9"/>
  <c r="J98" i="9"/>
  <c r="J93" i="9"/>
  <c r="J131" i="9"/>
  <c r="Z29" i="68"/>
  <c r="I304" i="35"/>
  <c r="P161" i="15"/>
  <c r="P164" i="15" s="1"/>
  <c r="P165" i="15" s="1"/>
  <c r="N161" i="15"/>
  <c r="N164" i="15" s="1"/>
  <c r="N165" i="15" s="1"/>
  <c r="L161" i="15"/>
  <c r="L164" i="15" s="1"/>
  <c r="L165" i="15" s="1"/>
  <c r="J161" i="15"/>
  <c r="J164" i="15" s="1"/>
  <c r="J165" i="15" s="1"/>
  <c r="H161" i="15"/>
  <c r="H16" i="49"/>
  <c r="K110" i="25"/>
  <c r="K111" i="25" s="1"/>
  <c r="K50" i="25"/>
  <c r="K52" i="25"/>
  <c r="K53" i="25" s="1"/>
  <c r="K29" i="25"/>
  <c r="N30" i="22"/>
  <c r="N31" i="22" s="1"/>
  <c r="K70" i="20"/>
  <c r="K72" i="20"/>
  <c r="K73" i="20" s="1"/>
  <c r="E411" i="11"/>
  <c r="G229" i="11"/>
  <c r="C67" i="11"/>
  <c r="C88" i="11" s="1"/>
  <c r="P28" i="11"/>
  <c r="Q28" i="11" s="1"/>
  <c r="J124" i="9"/>
  <c r="J106" i="9"/>
  <c r="J105" i="9"/>
  <c r="I284" i="43"/>
  <c r="I228" i="43"/>
  <c r="I289" i="43" s="1"/>
  <c r="J321" i="43"/>
  <c r="J181" i="35"/>
  <c r="J180" i="35"/>
  <c r="J169" i="35"/>
  <c r="J128" i="35"/>
  <c r="J129" i="35" s="1"/>
  <c r="I129" i="35"/>
  <c r="I132" i="35" s="1"/>
  <c r="I115" i="35"/>
  <c r="J115" i="35" s="1"/>
  <c r="I101" i="35"/>
  <c r="J101" i="35" s="1"/>
  <c r="J90" i="43"/>
  <c r="J79" i="35"/>
  <c r="P107" i="15"/>
  <c r="N107" i="15"/>
  <c r="O139" i="15"/>
  <c r="M161" i="15"/>
  <c r="M164" i="15" s="1"/>
  <c r="M165" i="15" s="1"/>
  <c r="M107" i="15"/>
  <c r="L107" i="15"/>
  <c r="K161" i="15"/>
  <c r="K164" i="15" s="1"/>
  <c r="K165" i="15" s="1"/>
  <c r="H237" i="35"/>
  <c r="Q237" i="35" s="1"/>
  <c r="O178" i="15"/>
  <c r="J107" i="15"/>
  <c r="H146" i="35"/>
  <c r="J146" i="35" s="1"/>
  <c r="H139" i="35"/>
  <c r="Q139" i="35" s="1"/>
  <c r="H282" i="35"/>
  <c r="I161" i="15"/>
  <c r="I164" i="15" s="1"/>
  <c r="I165" i="15" s="1"/>
  <c r="H309" i="35"/>
  <c r="B144" i="24"/>
  <c r="Q183" i="15"/>
  <c r="B146" i="24"/>
  <c r="B83" i="24"/>
  <c r="B85" i="24"/>
  <c r="I107" i="15"/>
  <c r="H141" i="35"/>
  <c r="J141" i="35" s="1"/>
  <c r="Q275" i="35"/>
  <c r="H240" i="35"/>
  <c r="Q240" i="35" s="1"/>
  <c r="Q139" i="15"/>
  <c r="Q187" i="35"/>
  <c r="H170" i="35"/>
  <c r="Q170" i="35" s="1"/>
  <c r="Q185" i="15"/>
  <c r="H107" i="15"/>
  <c r="H154" i="35"/>
  <c r="J154" i="35" s="1"/>
  <c r="H144" i="35"/>
  <c r="Q144" i="35" s="1"/>
  <c r="H140" i="35"/>
  <c r="H134" i="35"/>
  <c r="H171" i="15"/>
  <c r="D16" i="49"/>
  <c r="H273" i="35"/>
  <c r="U273" i="35" s="1"/>
  <c r="H270" i="35"/>
  <c r="U270" i="35" s="1"/>
  <c r="H262" i="35"/>
  <c r="Q262" i="35" s="1"/>
  <c r="G161" i="15"/>
  <c r="G164" i="15" s="1"/>
  <c r="H224" i="35"/>
  <c r="J224" i="35" s="1"/>
  <c r="H220" i="35"/>
  <c r="Q220" i="35" s="1"/>
  <c r="H206" i="35"/>
  <c r="Q206" i="35" s="1"/>
  <c r="H197" i="35"/>
  <c r="Q120" i="15"/>
  <c r="H186" i="35"/>
  <c r="Q186" i="35" s="1"/>
  <c r="Q184" i="15"/>
  <c r="Q182" i="15"/>
  <c r="Q181" i="35"/>
  <c r="Q180" i="35"/>
  <c r="H179" i="35"/>
  <c r="Q179" i="15"/>
  <c r="D56" i="24"/>
  <c r="D58" i="24"/>
  <c r="Q178" i="35"/>
  <c r="J178" i="35"/>
  <c r="H174" i="35"/>
  <c r="Q105" i="15"/>
  <c r="Q169" i="35"/>
  <c r="Q181" i="15"/>
  <c r="B106" i="24"/>
  <c r="B108" i="24"/>
  <c r="H164" i="35"/>
  <c r="Q180" i="15"/>
  <c r="H162" i="35"/>
  <c r="Q178" i="15"/>
  <c r="D33" i="24"/>
  <c r="H158" i="35"/>
  <c r="Q176" i="15"/>
  <c r="H147" i="35"/>
  <c r="J147" i="35" s="1"/>
  <c r="H145" i="35"/>
  <c r="H143" i="35"/>
  <c r="H138" i="35"/>
  <c r="Q138" i="35" s="1"/>
  <c r="H131" i="35"/>
  <c r="H153" i="35"/>
  <c r="Q173" i="15"/>
  <c r="H82" i="35"/>
  <c r="H68" i="35"/>
  <c r="Q68" i="35" s="1"/>
  <c r="H65" i="35"/>
  <c r="H63" i="35"/>
  <c r="J63" i="35" s="1"/>
  <c r="H62" i="35"/>
  <c r="J62" i="35" s="1"/>
  <c r="H60" i="35"/>
  <c r="H59" i="35"/>
  <c r="Q59" i="35" s="1"/>
  <c r="H57" i="35"/>
  <c r="Q56" i="35"/>
  <c r="G194" i="35"/>
  <c r="G225" i="35" s="1"/>
  <c r="AA8" i="68"/>
  <c r="AD45" i="66"/>
  <c r="J102" i="9"/>
  <c r="P208" i="35"/>
  <c r="M92" i="35"/>
  <c r="D38" i="53" s="1"/>
  <c r="P222" i="35"/>
  <c r="P171" i="35"/>
  <c r="P243" i="35"/>
  <c r="P148" i="35"/>
  <c r="P188" i="35"/>
  <c r="Q236" i="35"/>
  <c r="Q266" i="35"/>
  <c r="Q272" i="35"/>
  <c r="M50" i="35"/>
  <c r="D21" i="53" s="1"/>
  <c r="C29" i="53"/>
  <c r="K148" i="35"/>
  <c r="M271" i="35"/>
  <c r="N271" i="35" s="1"/>
  <c r="C115" i="53"/>
  <c r="C41" i="53"/>
  <c r="C32" i="53"/>
  <c r="M56" i="35"/>
  <c r="D25" i="53" s="1"/>
  <c r="C96" i="53"/>
  <c r="M125" i="35"/>
  <c r="D42" i="53" s="1"/>
  <c r="C42" i="53"/>
  <c r="M139" i="35"/>
  <c r="D51" i="53" s="1"/>
  <c r="M164" i="35"/>
  <c r="D69" i="53" s="1"/>
  <c r="C69" i="53"/>
  <c r="M266" i="35"/>
  <c r="D114" i="53" s="1"/>
  <c r="C20" i="53"/>
  <c r="AD284" i="64"/>
  <c r="AD281" i="64"/>
  <c r="K69" i="35"/>
  <c r="C34" i="53"/>
  <c r="C31" i="53"/>
  <c r="M60" i="35"/>
  <c r="D27" i="53" s="1"/>
  <c r="M52" i="35"/>
  <c r="D23" i="53" s="1"/>
  <c r="M192" i="35"/>
  <c r="C59" i="53"/>
  <c r="C109" i="53"/>
  <c r="K129" i="35"/>
  <c r="K132" i="35" s="1"/>
  <c r="P69" i="35"/>
  <c r="P117" i="35" s="1"/>
  <c r="M141" i="35"/>
  <c r="N141" i="35" s="1"/>
  <c r="C53" i="53"/>
  <c r="M178" i="35"/>
  <c r="N178" i="35" s="1"/>
  <c r="C80" i="53"/>
  <c r="M197" i="35"/>
  <c r="N197" i="35" s="1"/>
  <c r="C91" i="53"/>
  <c r="M137" i="35"/>
  <c r="D50" i="53" s="1"/>
  <c r="C50" i="53"/>
  <c r="M140" i="35"/>
  <c r="N140" i="35" s="1"/>
  <c r="C52" i="53"/>
  <c r="M143" i="35"/>
  <c r="N143" i="35" s="1"/>
  <c r="L148" i="35"/>
  <c r="M145" i="35"/>
  <c r="N145" i="35" s="1"/>
  <c r="C56" i="53"/>
  <c r="M147" i="35"/>
  <c r="D58" i="53" s="1"/>
  <c r="C58" i="53"/>
  <c r="M151" i="35"/>
  <c r="D60" i="53" s="1"/>
  <c r="K83" i="35"/>
  <c r="L83" i="35"/>
  <c r="M65" i="35"/>
  <c r="D30" i="53" s="1"/>
  <c r="M53" i="35"/>
  <c r="D24" i="53" s="1"/>
  <c r="M46" i="35"/>
  <c r="D18" i="53" s="1"/>
  <c r="C46" i="53"/>
  <c r="C48" i="53"/>
  <c r="C88" i="53"/>
  <c r="C102" i="53"/>
  <c r="L129" i="35"/>
  <c r="M71" i="35"/>
  <c r="D33" i="53" s="1"/>
  <c r="L69" i="35"/>
  <c r="M62" i="35"/>
  <c r="D28" i="53" s="1"/>
  <c r="M51" i="35"/>
  <c r="D22" i="53" s="1"/>
  <c r="C44" i="53"/>
  <c r="C51" i="53"/>
  <c r="C57" i="53"/>
  <c r="C55" i="53"/>
  <c r="C61" i="53"/>
  <c r="C74" i="53"/>
  <c r="C67" i="53"/>
  <c r="C82" i="53"/>
  <c r="C85" i="53"/>
  <c r="L188" i="35"/>
  <c r="L208" i="35"/>
  <c r="M235" i="35"/>
  <c r="D95" i="53" s="1"/>
  <c r="L243" i="35"/>
  <c r="C95" i="53"/>
  <c r="M237" i="35"/>
  <c r="D97" i="53" s="1"/>
  <c r="C97" i="53"/>
  <c r="M241" i="35"/>
  <c r="N241" i="35" s="1"/>
  <c r="C99" i="53"/>
  <c r="M249" i="35"/>
  <c r="D101" i="53" s="1"/>
  <c r="C101" i="53"/>
  <c r="M254" i="35"/>
  <c r="D104" i="53" s="1"/>
  <c r="C104" i="53"/>
  <c r="M257" i="35"/>
  <c r="N257" i="35" s="1"/>
  <c r="C106" i="53"/>
  <c r="M259" i="35"/>
  <c r="D108" i="53" s="1"/>
  <c r="C108" i="53"/>
  <c r="M262" i="35"/>
  <c r="N262" i="35" s="1"/>
  <c r="D113" i="53"/>
  <c r="C113" i="53"/>
  <c r="C116" i="53"/>
  <c r="D118" i="53"/>
  <c r="C118" i="53"/>
  <c r="M47" i="35"/>
  <c r="D19" i="53" s="1"/>
  <c r="C45" i="53"/>
  <c r="C43" i="53"/>
  <c r="C47" i="53"/>
  <c r="C54" i="53"/>
  <c r="C60" i="53"/>
  <c r="C62" i="53"/>
  <c r="C75" i="53"/>
  <c r="C70" i="53"/>
  <c r="C68" i="53"/>
  <c r="C83" i="53"/>
  <c r="C81" i="53"/>
  <c r="C89" i="53"/>
  <c r="C86" i="53"/>
  <c r="C94" i="53"/>
  <c r="C98" i="53"/>
  <c r="C100" i="53"/>
  <c r="C103" i="53"/>
  <c r="C105" i="53"/>
  <c r="C107" i="53"/>
  <c r="C114" i="53"/>
  <c r="C112" i="53"/>
  <c r="C117" i="53"/>
  <c r="J272" i="35"/>
  <c r="Q266" i="11"/>
  <c r="F30" i="22"/>
  <c r="F31" i="22" s="1"/>
  <c r="F28" i="22"/>
  <c r="C56" i="22"/>
  <c r="D60" i="22"/>
  <c r="D56" i="22"/>
  <c r="N39" i="23"/>
  <c r="K46" i="23"/>
  <c r="N171" i="15"/>
  <c r="J16" i="49"/>
  <c r="D70" i="11"/>
  <c r="P271" i="11"/>
  <c r="Q271" i="11" s="1"/>
  <c r="Q286" i="11"/>
  <c r="G16" i="49"/>
  <c r="G40" i="49" s="1"/>
  <c r="G41" i="49" s="1"/>
  <c r="K171" i="15"/>
  <c r="J171" i="15"/>
  <c r="F16" i="49"/>
  <c r="G167" i="64"/>
  <c r="H235" i="35"/>
  <c r="H241" i="35"/>
  <c r="Q241" i="35" s="1"/>
  <c r="H261" i="35"/>
  <c r="H265" i="35"/>
  <c r="H271" i="35"/>
  <c r="U271" i="35" s="1"/>
  <c r="J32" i="35"/>
  <c r="J38" i="16" s="1"/>
  <c r="I148" i="35"/>
  <c r="A109" i="9"/>
  <c r="I222" i="35"/>
  <c r="AD43" i="66"/>
  <c r="J43" i="16"/>
  <c r="G84" i="16"/>
  <c r="I90" i="35"/>
  <c r="Q89" i="35"/>
  <c r="Q90" i="35" s="1"/>
  <c r="H90" i="35"/>
  <c r="J89" i="35"/>
  <c r="J90" i="35" s="1"/>
  <c r="E44" i="11" l="1"/>
  <c r="G150" i="9"/>
  <c r="L35" i="35"/>
  <c r="D116" i="53"/>
  <c r="K117" i="35"/>
  <c r="K121" i="35" s="1"/>
  <c r="I303" i="35"/>
  <c r="J162" i="35"/>
  <c r="D94" i="53"/>
  <c r="M86" i="35"/>
  <c r="L90" i="35"/>
  <c r="C36" i="53" s="1"/>
  <c r="Q160" i="15"/>
  <c r="Q92" i="15"/>
  <c r="J163" i="35"/>
  <c r="Q163" i="35"/>
  <c r="C47" i="54" s="1"/>
  <c r="K38" i="49"/>
  <c r="K40" i="49"/>
  <c r="K41" i="49" s="1"/>
  <c r="Q278" i="35"/>
  <c r="R278" i="35" s="1"/>
  <c r="S278" i="35" s="1"/>
  <c r="J265" i="35"/>
  <c r="Q265" i="35"/>
  <c r="R265" i="35" s="1"/>
  <c r="S265" i="35" s="1"/>
  <c r="H48" i="42"/>
  <c r="Q282" i="35"/>
  <c r="R282" i="35" s="1"/>
  <c r="A22" i="27"/>
  <c r="Q60" i="15"/>
  <c r="N151" i="35"/>
  <c r="E60" i="53" s="1"/>
  <c r="N147" i="35"/>
  <c r="E58" i="53" s="1"/>
  <c r="N253" i="35"/>
  <c r="E103" i="53" s="1"/>
  <c r="N56" i="35"/>
  <c r="E25" i="53" s="1"/>
  <c r="N65" i="35"/>
  <c r="E30" i="53" s="1"/>
  <c r="N139" i="35"/>
  <c r="E51" i="53" s="1"/>
  <c r="N68" i="35"/>
  <c r="E32" i="53" s="1"/>
  <c r="N248" i="35"/>
  <c r="E100" i="53" s="1"/>
  <c r="N50" i="35"/>
  <c r="E21" i="53" s="1"/>
  <c r="N134" i="35"/>
  <c r="E47" i="53" s="1"/>
  <c r="N125" i="35"/>
  <c r="E42" i="53" s="1"/>
  <c r="N137" i="35"/>
  <c r="E50" i="53" s="1"/>
  <c r="N119" i="35"/>
  <c r="E41" i="53" s="1"/>
  <c r="N51" i="35"/>
  <c r="E22" i="53" s="1"/>
  <c r="N92" i="35"/>
  <c r="E38" i="53" s="1"/>
  <c r="N266" i="35"/>
  <c r="E114" i="53" s="1"/>
  <c r="N71" i="35"/>
  <c r="E33" i="53" s="1"/>
  <c r="N258" i="35"/>
  <c r="E107" i="53" s="1"/>
  <c r="N47" i="35"/>
  <c r="E19" i="53" s="1"/>
  <c r="N63" i="35"/>
  <c r="E29" i="53" s="1"/>
  <c r="M208" i="35"/>
  <c r="N208" i="35" s="1"/>
  <c r="M158" i="35"/>
  <c r="N158" i="35" s="1"/>
  <c r="E63" i="53" s="1"/>
  <c r="N235" i="35"/>
  <c r="E95" i="53" s="1"/>
  <c r="N72" i="35"/>
  <c r="E34" i="53" s="1"/>
  <c r="N53" i="35"/>
  <c r="E24" i="53" s="1"/>
  <c r="N66" i="35"/>
  <c r="E31" i="53" s="1"/>
  <c r="N240" i="35"/>
  <c r="E98" i="53" s="1"/>
  <c r="N278" i="35"/>
  <c r="E117" i="53" s="1"/>
  <c r="N62" i="35"/>
  <c r="E28" i="53" s="1"/>
  <c r="N58" i="35"/>
  <c r="E26" i="53" s="1"/>
  <c r="N261" i="35"/>
  <c r="E109" i="53" s="1"/>
  <c r="N254" i="35"/>
  <c r="E104" i="53" s="1"/>
  <c r="N52" i="35"/>
  <c r="E23" i="53" s="1"/>
  <c r="N256" i="35"/>
  <c r="E105" i="53" s="1"/>
  <c r="N48" i="35"/>
  <c r="E20" i="53" s="1"/>
  <c r="D90" i="53"/>
  <c r="N192" i="35"/>
  <c r="E90" i="53" s="1"/>
  <c r="N46" i="35"/>
  <c r="E18" i="53" s="1"/>
  <c r="N249" i="35"/>
  <c r="E101" i="53" s="1"/>
  <c r="N237" i="35"/>
  <c r="E97" i="53" s="1"/>
  <c r="N150" i="35"/>
  <c r="E59" i="53" s="1"/>
  <c r="N164" i="35"/>
  <c r="E69" i="53" s="1"/>
  <c r="N259" i="35"/>
  <c r="E108" i="53" s="1"/>
  <c r="N60" i="35"/>
  <c r="E27" i="53" s="1"/>
  <c r="AC33" i="66"/>
  <c r="AD44" i="66"/>
  <c r="AC48" i="66"/>
  <c r="AC60" i="66" s="1"/>
  <c r="AA60" i="66"/>
  <c r="D115" i="53"/>
  <c r="E115" i="53"/>
  <c r="D45" i="48"/>
  <c r="D46" i="48"/>
  <c r="D47" i="48" s="1"/>
  <c r="I35" i="35"/>
  <c r="J191" i="43"/>
  <c r="J195" i="43" s="1"/>
  <c r="N29" i="25"/>
  <c r="Q162" i="35"/>
  <c r="J135" i="9"/>
  <c r="J146" i="9" s="1"/>
  <c r="J119" i="9"/>
  <c r="J248" i="35"/>
  <c r="G77" i="16"/>
  <c r="E116" i="53"/>
  <c r="E113" i="53"/>
  <c r="E94" i="53"/>
  <c r="E118" i="53"/>
  <c r="L171" i="35"/>
  <c r="M171" i="35" s="1"/>
  <c r="E112" i="53"/>
  <c r="G80" i="9"/>
  <c r="M80" i="9"/>
  <c r="C63" i="53"/>
  <c r="J282" i="43"/>
  <c r="J288" i="43" s="1"/>
  <c r="H171" i="35"/>
  <c r="Q33" i="35"/>
  <c r="I83" i="35"/>
  <c r="AD8" i="66"/>
  <c r="AD20" i="66"/>
  <c r="AD9" i="66"/>
  <c r="G259" i="64"/>
  <c r="AD37" i="66"/>
  <c r="AD39" i="66"/>
  <c r="AD36" i="66"/>
  <c r="AD38" i="66"/>
  <c r="AD21" i="66"/>
  <c r="AD17" i="66"/>
  <c r="AD19" i="66"/>
  <c r="D40" i="49"/>
  <c r="D41" i="49" s="1"/>
  <c r="D38" i="49"/>
  <c r="J37" i="16"/>
  <c r="G205" i="16"/>
  <c r="E40" i="49"/>
  <c r="E41" i="49" s="1"/>
  <c r="E38" i="49"/>
  <c r="L38" i="49"/>
  <c r="A26" i="27"/>
  <c r="J40" i="49"/>
  <c r="J41" i="49" s="1"/>
  <c r="J38" i="49"/>
  <c r="Q158" i="35"/>
  <c r="H188" i="35"/>
  <c r="N73" i="25"/>
  <c r="N76" i="25"/>
  <c r="I40" i="49"/>
  <c r="I41" i="49" s="1"/>
  <c r="I38" i="49"/>
  <c r="G63" i="16"/>
  <c r="N53" i="25"/>
  <c r="G38" i="49"/>
  <c r="C38" i="49"/>
  <c r="H40" i="49"/>
  <c r="H41" i="49" s="1"/>
  <c r="H38" i="49"/>
  <c r="E76" i="53"/>
  <c r="D76" i="53"/>
  <c r="H164" i="15"/>
  <c r="H165" i="15" s="1"/>
  <c r="F40" i="49"/>
  <c r="F41" i="49" s="1"/>
  <c r="F38" i="49"/>
  <c r="I43" i="35"/>
  <c r="J279" i="35"/>
  <c r="H280" i="35"/>
  <c r="G163" i="15"/>
  <c r="J28" i="35"/>
  <c r="J18" i="16" s="1"/>
  <c r="J20" i="16" s="1"/>
  <c r="Q153" i="35"/>
  <c r="M39" i="35"/>
  <c r="L43" i="35"/>
  <c r="E77" i="53"/>
  <c r="D77" i="53"/>
  <c r="N110" i="25"/>
  <c r="N108" i="25"/>
  <c r="K59" i="23"/>
  <c r="K60" i="23" s="1"/>
  <c r="I300" i="35"/>
  <c r="N50" i="25"/>
  <c r="I66" i="24"/>
  <c r="A67" i="24" s="1"/>
  <c r="I63" i="24"/>
  <c r="H229" i="43"/>
  <c r="G115" i="16"/>
  <c r="O161" i="15"/>
  <c r="O164" i="15" s="1"/>
  <c r="O165" i="15" s="1"/>
  <c r="J187" i="35"/>
  <c r="I188" i="35"/>
  <c r="M148" i="35"/>
  <c r="J237" i="35"/>
  <c r="H117" i="15"/>
  <c r="H163" i="15" s="1"/>
  <c r="M117" i="15"/>
  <c r="M163" i="15" s="1"/>
  <c r="N119" i="15"/>
  <c r="N121" i="15" s="1"/>
  <c r="J311" i="43"/>
  <c r="G207" i="16"/>
  <c r="J94" i="9"/>
  <c r="G173" i="65"/>
  <c r="G229" i="65" s="1"/>
  <c r="Q62" i="35"/>
  <c r="Q147" i="35"/>
  <c r="J262" i="35"/>
  <c r="N117" i="15"/>
  <c r="N163" i="15" s="1"/>
  <c r="P117" i="15"/>
  <c r="P163" i="15" s="1"/>
  <c r="A77" i="27"/>
  <c r="A82" i="27"/>
  <c r="E89" i="53"/>
  <c r="E83" i="53"/>
  <c r="E70" i="53"/>
  <c r="E64" i="53"/>
  <c r="E43" i="53"/>
  <c r="E74" i="53"/>
  <c r="E96" i="53"/>
  <c r="E85" i="53"/>
  <c r="E67" i="53"/>
  <c r="E61" i="53"/>
  <c r="E57" i="53"/>
  <c r="E48" i="53"/>
  <c r="E44" i="53"/>
  <c r="E86" i="53"/>
  <c r="E81" i="53"/>
  <c r="E75" i="53"/>
  <c r="E68" i="53"/>
  <c r="E62" i="53"/>
  <c r="E45" i="53"/>
  <c r="E102" i="53"/>
  <c r="E88" i="53"/>
  <c r="E82" i="53"/>
  <c r="E55" i="53"/>
  <c r="E46" i="53"/>
  <c r="I228" i="35"/>
  <c r="I227" i="43"/>
  <c r="I229" i="43" s="1"/>
  <c r="Q164" i="15"/>
  <c r="Q165" i="15" s="1"/>
  <c r="Q224" i="35"/>
  <c r="Q63" i="35"/>
  <c r="D83" i="53"/>
  <c r="D70" i="53"/>
  <c r="D89" i="53"/>
  <c r="D64" i="53"/>
  <c r="D43" i="53"/>
  <c r="D86" i="53"/>
  <c r="D81" i="53"/>
  <c r="D75" i="53"/>
  <c r="D68" i="53"/>
  <c r="D62" i="53"/>
  <c r="D45" i="53"/>
  <c r="D61" i="53"/>
  <c r="R59" i="35"/>
  <c r="D20" i="54" s="1"/>
  <c r="C34" i="54"/>
  <c r="C50" i="54"/>
  <c r="C53" i="54"/>
  <c r="C55" i="54"/>
  <c r="Q222" i="35"/>
  <c r="C66" i="54"/>
  <c r="R56" i="35"/>
  <c r="D18" i="54" s="1"/>
  <c r="C56" i="54"/>
  <c r="C57" i="54"/>
  <c r="R206" i="35"/>
  <c r="D60" i="54" s="1"/>
  <c r="R170" i="35"/>
  <c r="D51" i="54" s="1"/>
  <c r="R187" i="35"/>
  <c r="D58" i="54" s="1"/>
  <c r="C35" i="54"/>
  <c r="R175" i="35"/>
  <c r="R92" i="35"/>
  <c r="S92" i="35" s="1"/>
  <c r="D85" i="53"/>
  <c r="D67" i="53"/>
  <c r="D44" i="53"/>
  <c r="D102" i="53"/>
  <c r="D88" i="53"/>
  <c r="D82" i="53"/>
  <c r="D74" i="53"/>
  <c r="D55" i="53"/>
  <c r="D46" i="53"/>
  <c r="E91" i="53"/>
  <c r="D96" i="53"/>
  <c r="D57" i="53"/>
  <c r="D48" i="53"/>
  <c r="C92" i="53"/>
  <c r="E56" i="53"/>
  <c r="E52" i="53"/>
  <c r="C16" i="53"/>
  <c r="E80" i="53"/>
  <c r="E53" i="53"/>
  <c r="E99" i="53"/>
  <c r="E54" i="53"/>
  <c r="I291" i="35"/>
  <c r="Q146" i="35"/>
  <c r="I117" i="15"/>
  <c r="I163" i="15" s="1"/>
  <c r="C29" i="54"/>
  <c r="P119" i="15"/>
  <c r="P121" i="15" s="1"/>
  <c r="O60" i="15"/>
  <c r="O171" i="15"/>
  <c r="L117" i="15"/>
  <c r="L163" i="15" s="1"/>
  <c r="L119" i="15"/>
  <c r="L121" i="15" s="1"/>
  <c r="R180" i="35"/>
  <c r="S180" i="35" s="1"/>
  <c r="Q154" i="35"/>
  <c r="J117" i="15"/>
  <c r="J163" i="15" s="1"/>
  <c r="J119" i="15"/>
  <c r="J121" i="15" s="1"/>
  <c r="I119" i="15"/>
  <c r="I121" i="15" s="1"/>
  <c r="J282" i="35"/>
  <c r="D72" i="11"/>
  <c r="AA29" i="68"/>
  <c r="N111" i="25"/>
  <c r="K117" i="15"/>
  <c r="K163" i="15" s="1"/>
  <c r="D67" i="11"/>
  <c r="M119" i="15"/>
  <c r="M121" i="15" s="1"/>
  <c r="C51" i="54"/>
  <c r="K119" i="15"/>
  <c r="K121" i="15" s="1"/>
  <c r="R178" i="35"/>
  <c r="D53" i="54" s="1"/>
  <c r="Q141" i="35"/>
  <c r="C60" i="54"/>
  <c r="Q208" i="35"/>
  <c r="H119" i="15"/>
  <c r="H121" i="15" s="1"/>
  <c r="R240" i="35"/>
  <c r="S240" i="35" s="1"/>
  <c r="P281" i="35"/>
  <c r="C58" i="54"/>
  <c r="R181" i="35"/>
  <c r="D56" i="54" s="1"/>
  <c r="R220" i="35"/>
  <c r="D61" i="54" s="1"/>
  <c r="D80" i="53"/>
  <c r="D53" i="53"/>
  <c r="D99" i="53"/>
  <c r="D52" i="53"/>
  <c r="J226" i="43"/>
  <c r="J228" i="43"/>
  <c r="C61" i="54"/>
  <c r="Q107" i="15"/>
  <c r="C20" i="54"/>
  <c r="R169" i="35"/>
  <c r="D50" i="54" s="1"/>
  <c r="C39" i="54"/>
  <c r="R144" i="35"/>
  <c r="D39" i="54" s="1"/>
  <c r="R139" i="35"/>
  <c r="D35" i="54" s="1"/>
  <c r="C65" i="54"/>
  <c r="R237" i="35"/>
  <c r="S237" i="35" s="1"/>
  <c r="U139" i="35"/>
  <c r="J139" i="35"/>
  <c r="R138" i="35"/>
  <c r="D34" i="54" s="1"/>
  <c r="C18" i="54"/>
  <c r="R275" i="35"/>
  <c r="S275" i="35" s="1"/>
  <c r="J240" i="35"/>
  <c r="Q184" i="35"/>
  <c r="J184" i="35"/>
  <c r="J309" i="35" s="1"/>
  <c r="H300" i="35"/>
  <c r="J300" i="35"/>
  <c r="C25" i="54"/>
  <c r="R68" i="35"/>
  <c r="D25" i="54" s="1"/>
  <c r="R186" i="35"/>
  <c r="S186" i="35" s="1"/>
  <c r="H312" i="35"/>
  <c r="J170" i="35"/>
  <c r="J144" i="35"/>
  <c r="Q140" i="35"/>
  <c r="J140" i="35"/>
  <c r="Q134" i="35"/>
  <c r="J134" i="35"/>
  <c r="Q273" i="35"/>
  <c r="J273" i="35"/>
  <c r="Q270" i="35"/>
  <c r="J270" i="35"/>
  <c r="R262" i="35"/>
  <c r="S262" i="35" s="1"/>
  <c r="C69" i="54"/>
  <c r="H222" i="35"/>
  <c r="J220" i="35"/>
  <c r="J222" i="35" s="1"/>
  <c r="J206" i="35"/>
  <c r="J208" i="35" s="1"/>
  <c r="H208" i="35"/>
  <c r="J197" i="35"/>
  <c r="Q197" i="35"/>
  <c r="J186" i="35"/>
  <c r="J311" i="35" s="1"/>
  <c r="H311" i="35"/>
  <c r="H308" i="35"/>
  <c r="Q183" i="35"/>
  <c r="J183" i="35"/>
  <c r="J308" i="35" s="1"/>
  <c r="H304" i="35"/>
  <c r="J179" i="35"/>
  <c r="J304" i="35" s="1"/>
  <c r="Q179" i="35"/>
  <c r="J174" i="35"/>
  <c r="Q174" i="35"/>
  <c r="H306" i="35"/>
  <c r="J306" i="35"/>
  <c r="Q165" i="35"/>
  <c r="H305" i="35"/>
  <c r="J164" i="35"/>
  <c r="J305" i="35" s="1"/>
  <c r="Q164" i="35"/>
  <c r="H303" i="35"/>
  <c r="N26" i="25"/>
  <c r="J303" i="35"/>
  <c r="H299" i="35"/>
  <c r="J158" i="35"/>
  <c r="Q145" i="35"/>
  <c r="J145" i="35"/>
  <c r="H148" i="35"/>
  <c r="J143" i="35"/>
  <c r="Q143" i="35"/>
  <c r="U138" i="35"/>
  <c r="J138" i="35"/>
  <c r="H132" i="35"/>
  <c r="Q131" i="35"/>
  <c r="J131" i="35"/>
  <c r="J132" i="35" s="1"/>
  <c r="H296" i="35"/>
  <c r="J153" i="35"/>
  <c r="J296" i="35" s="1"/>
  <c r="J82" i="35"/>
  <c r="J83" i="35" s="1"/>
  <c r="Q82" i="35"/>
  <c r="Q83" i="35" s="1"/>
  <c r="H83" i="35"/>
  <c r="J68" i="35"/>
  <c r="Q65" i="35"/>
  <c r="H69" i="35"/>
  <c r="J65" i="35"/>
  <c r="U60" i="35"/>
  <c r="J60" i="35"/>
  <c r="Q60" i="35"/>
  <c r="U59" i="35"/>
  <c r="J59" i="35"/>
  <c r="J57" i="35"/>
  <c r="N56" i="22" s="1"/>
  <c r="Q57" i="35"/>
  <c r="J56" i="35"/>
  <c r="Q41" i="35"/>
  <c r="J41" i="35"/>
  <c r="J33" i="35"/>
  <c r="D91" i="53"/>
  <c r="M69" i="35"/>
  <c r="C70" i="54"/>
  <c r="P190" i="35"/>
  <c r="P194" i="35" s="1"/>
  <c r="C75" i="54"/>
  <c r="R272" i="35"/>
  <c r="S272" i="35" s="1"/>
  <c r="C64" i="54"/>
  <c r="R236" i="35"/>
  <c r="S236" i="35" s="1"/>
  <c r="C72" i="54"/>
  <c r="R266" i="35"/>
  <c r="D72" i="54" s="1"/>
  <c r="M35" i="35"/>
  <c r="D16" i="53" s="1"/>
  <c r="M83" i="35"/>
  <c r="D35" i="53" s="1"/>
  <c r="K190" i="35"/>
  <c r="K194" i="35" s="1"/>
  <c r="D54" i="53"/>
  <c r="M188" i="35"/>
  <c r="P121" i="35"/>
  <c r="D56" i="53"/>
  <c r="C35" i="53"/>
  <c r="L132" i="35"/>
  <c r="M129" i="35"/>
  <c r="E106" i="53"/>
  <c r="D106" i="53"/>
  <c r="C93" i="53"/>
  <c r="M222" i="35"/>
  <c r="N222" i="35" s="1"/>
  <c r="E110" i="53"/>
  <c r="D110" i="53"/>
  <c r="M243" i="35"/>
  <c r="L281" i="35"/>
  <c r="Q276" i="35"/>
  <c r="Q271" i="35"/>
  <c r="Q261" i="35"/>
  <c r="J261" i="35"/>
  <c r="C67" i="54"/>
  <c r="R241" i="35"/>
  <c r="D67" i="54" s="1"/>
  <c r="Q235" i="35"/>
  <c r="H243" i="35"/>
  <c r="J235" i="35"/>
  <c r="G198" i="64"/>
  <c r="G256" i="64" s="1"/>
  <c r="G200" i="64"/>
  <c r="G202" i="64" s="1"/>
  <c r="J241" i="35"/>
  <c r="J271" i="35"/>
  <c r="Q171" i="15"/>
  <c r="N59" i="22"/>
  <c r="N60" i="22" s="1"/>
  <c r="I281" i="35"/>
  <c r="I285" i="35" s="1"/>
  <c r="R89" i="35"/>
  <c r="D27" i="54" s="1"/>
  <c r="C27" i="54"/>
  <c r="J26" i="16" l="1"/>
  <c r="E22" i="16"/>
  <c r="D88" i="11"/>
  <c r="M90" i="35"/>
  <c r="D36" i="53" s="1"/>
  <c r="J35" i="35"/>
  <c r="L117" i="35"/>
  <c r="L121" i="35" s="1"/>
  <c r="D92" i="53"/>
  <c r="D71" i="54"/>
  <c r="C71" i="54"/>
  <c r="I117" i="35"/>
  <c r="I121" i="35" s="1"/>
  <c r="G227" i="35"/>
  <c r="G229" i="35" s="1"/>
  <c r="D63" i="53"/>
  <c r="R163" i="35"/>
  <c r="S163" i="35" s="1"/>
  <c r="E47" i="54" s="1"/>
  <c r="H117" i="35"/>
  <c r="H121" i="35" s="1"/>
  <c r="S178" i="35"/>
  <c r="E53" i="54" s="1"/>
  <c r="S138" i="35"/>
  <c r="E34" i="54" s="1"/>
  <c r="S241" i="35"/>
  <c r="E67" i="54" s="1"/>
  <c r="S144" i="35"/>
  <c r="E39" i="54" s="1"/>
  <c r="R162" i="35"/>
  <c r="S162" i="35" s="1"/>
  <c r="S56" i="35"/>
  <c r="E18" i="54" s="1"/>
  <c r="S59" i="35"/>
  <c r="E20" i="54" s="1"/>
  <c r="S187" i="35"/>
  <c r="E58" i="54" s="1"/>
  <c r="N90" i="35"/>
  <c r="E36" i="53" s="1"/>
  <c r="S220" i="35"/>
  <c r="E61" i="54" s="1"/>
  <c r="S170" i="35"/>
  <c r="E51" i="54" s="1"/>
  <c r="S181" i="35"/>
  <c r="E56" i="54" s="1"/>
  <c r="N83" i="35"/>
  <c r="E35" i="53" s="1"/>
  <c r="N35" i="35"/>
  <c r="E16" i="53" s="1"/>
  <c r="S206" i="35"/>
  <c r="E60" i="54" s="1"/>
  <c r="Q35" i="35"/>
  <c r="R35" i="35" s="1"/>
  <c r="S89" i="35"/>
  <c r="E27" i="54" s="1"/>
  <c r="S266" i="35"/>
  <c r="E72" i="54" s="1"/>
  <c r="S68" i="35"/>
  <c r="E25" i="54" s="1"/>
  <c r="S169" i="35"/>
  <c r="E50" i="54" s="1"/>
  <c r="S139" i="35"/>
  <c r="E35" i="54" s="1"/>
  <c r="K225" i="35"/>
  <c r="K283" i="35" s="1"/>
  <c r="AC61" i="66"/>
  <c r="AD61" i="66" s="1"/>
  <c r="AD60" i="66"/>
  <c r="AD48" i="66"/>
  <c r="J148" i="9"/>
  <c r="J150" i="9" s="1"/>
  <c r="J289" i="43"/>
  <c r="R33" i="35"/>
  <c r="S33" i="35" s="1"/>
  <c r="P225" i="35"/>
  <c r="P283" i="35" s="1"/>
  <c r="C16" i="54"/>
  <c r="H190" i="35"/>
  <c r="H194" i="35" s="1"/>
  <c r="C43" i="54"/>
  <c r="R158" i="35"/>
  <c r="D45" i="54" s="1"/>
  <c r="E71" i="54"/>
  <c r="Q43" i="35"/>
  <c r="R43" i="35" s="1"/>
  <c r="M43" i="35"/>
  <c r="N43" i="35" s="1"/>
  <c r="E92" i="53"/>
  <c r="J48" i="16"/>
  <c r="J171" i="35"/>
  <c r="R174" i="35"/>
  <c r="S174" i="35" s="1"/>
  <c r="C17" i="53"/>
  <c r="C45" i="54"/>
  <c r="R153" i="35"/>
  <c r="D43" i="54" s="1"/>
  <c r="J43" i="35"/>
  <c r="N70" i="20"/>
  <c r="N59" i="23"/>
  <c r="N60" i="23" s="1"/>
  <c r="J280" i="35"/>
  <c r="I69" i="24"/>
  <c r="Q280" i="35"/>
  <c r="R280" i="35" s="1"/>
  <c r="G283" i="35"/>
  <c r="C22" i="54"/>
  <c r="R63" i="35"/>
  <c r="D23" i="54" s="1"/>
  <c r="R224" i="35"/>
  <c r="D62" i="54" s="1"/>
  <c r="C42" i="54"/>
  <c r="C77" i="54"/>
  <c r="J312" i="35"/>
  <c r="I190" i="35"/>
  <c r="I194" i="35" s="1"/>
  <c r="A64" i="24"/>
  <c r="J291" i="35"/>
  <c r="R62" i="35"/>
  <c r="D22" i="54" s="1"/>
  <c r="R147" i="35"/>
  <c r="D42" i="54" s="1"/>
  <c r="I286" i="35"/>
  <c r="J227" i="43"/>
  <c r="J229" i="43" s="1"/>
  <c r="M281" i="35"/>
  <c r="C41" i="54"/>
  <c r="C23" i="54"/>
  <c r="C62" i="54"/>
  <c r="R222" i="35"/>
  <c r="R154" i="35"/>
  <c r="D44" i="54" s="1"/>
  <c r="E29" i="54"/>
  <c r="D29" i="54"/>
  <c r="E66" i="54"/>
  <c r="R141" i="35"/>
  <c r="D37" i="54" s="1"/>
  <c r="E55" i="54"/>
  <c r="R146" i="35"/>
  <c r="D41" i="54" s="1"/>
  <c r="E57" i="54"/>
  <c r="D55" i="54"/>
  <c r="C44" i="54"/>
  <c r="N73" i="20"/>
  <c r="O117" i="15"/>
  <c r="O119" i="15"/>
  <c r="O121" i="15" s="1"/>
  <c r="R208" i="35"/>
  <c r="J188" i="35"/>
  <c r="C37" i="54"/>
  <c r="J148" i="35"/>
  <c r="D66" i="54"/>
  <c r="D57" i="54"/>
  <c r="H228" i="35"/>
  <c r="Q119" i="15"/>
  <c r="Q121" i="15" s="1"/>
  <c r="Q117" i="15"/>
  <c r="J284" i="43"/>
  <c r="E65" i="54"/>
  <c r="D65" i="54"/>
  <c r="J228" i="35"/>
  <c r="R184" i="35"/>
  <c r="J243" i="35"/>
  <c r="C36" i="54"/>
  <c r="R140" i="35"/>
  <c r="S140" i="35" s="1"/>
  <c r="R134" i="35"/>
  <c r="D33" i="54" s="1"/>
  <c r="C33" i="54"/>
  <c r="C78" i="54"/>
  <c r="C76" i="54"/>
  <c r="R273" i="35"/>
  <c r="S273" i="35" s="1"/>
  <c r="C73" i="54"/>
  <c r="R270" i="35"/>
  <c r="S270" i="35" s="1"/>
  <c r="E69" i="54"/>
  <c r="D69" i="54"/>
  <c r="C59" i="54"/>
  <c r="R197" i="35"/>
  <c r="S197" i="35" s="1"/>
  <c r="R183" i="35"/>
  <c r="C54" i="54"/>
  <c r="R179" i="35"/>
  <c r="S179" i="35" s="1"/>
  <c r="C52" i="54"/>
  <c r="Q188" i="35"/>
  <c r="R188" i="35" s="1"/>
  <c r="R165" i="35"/>
  <c r="D49" i="54" s="1"/>
  <c r="C49" i="54"/>
  <c r="C48" i="54"/>
  <c r="R164" i="35"/>
  <c r="D48" i="54" s="1"/>
  <c r="C46" i="54"/>
  <c r="Q171" i="35"/>
  <c r="R171" i="35" s="1"/>
  <c r="J299" i="35"/>
  <c r="C40" i="54"/>
  <c r="R145" i="35"/>
  <c r="D40" i="54" s="1"/>
  <c r="C38" i="54"/>
  <c r="Q148" i="35"/>
  <c r="R148" i="35" s="1"/>
  <c r="R143" i="35"/>
  <c r="S143" i="35" s="1"/>
  <c r="Q132" i="35"/>
  <c r="R131" i="35"/>
  <c r="D32" i="54" s="1"/>
  <c r="C32" i="54"/>
  <c r="R82" i="35"/>
  <c r="D26" i="54" s="1"/>
  <c r="R83" i="35"/>
  <c r="C26" i="54"/>
  <c r="J69" i="35"/>
  <c r="R65" i="35"/>
  <c r="D24" i="54" s="1"/>
  <c r="Q69" i="35"/>
  <c r="R69" i="35" s="1"/>
  <c r="C24" i="54"/>
  <c r="R60" i="35"/>
  <c r="S60" i="35" s="1"/>
  <c r="C21" i="54"/>
  <c r="C19" i="54"/>
  <c r="R57" i="35"/>
  <c r="D19" i="54" s="1"/>
  <c r="R41" i="35"/>
  <c r="D17" i="54" s="1"/>
  <c r="C17" i="54"/>
  <c r="D70" i="54"/>
  <c r="E70" i="54"/>
  <c r="E64" i="54"/>
  <c r="D64" i="54"/>
  <c r="D75" i="54"/>
  <c r="E75" i="54"/>
  <c r="R90" i="35"/>
  <c r="M132" i="35"/>
  <c r="L190" i="35"/>
  <c r="D93" i="53"/>
  <c r="E93" i="53"/>
  <c r="C63" i="54"/>
  <c r="R235" i="35"/>
  <c r="D63" i="54" s="1"/>
  <c r="Q243" i="35"/>
  <c r="R261" i="35"/>
  <c r="D68" i="54" s="1"/>
  <c r="C68" i="54"/>
  <c r="H291" i="35"/>
  <c r="R271" i="35"/>
  <c r="D74" i="54" s="1"/>
  <c r="C74" i="54"/>
  <c r="R276" i="35"/>
  <c r="S276" i="35" s="1"/>
  <c r="H281" i="35"/>
  <c r="H285" i="35" s="1"/>
  <c r="M121" i="35" l="1"/>
  <c r="D47" i="54"/>
  <c r="Q117" i="35"/>
  <c r="J117" i="35"/>
  <c r="J121" i="35" s="1"/>
  <c r="S131" i="35"/>
  <c r="E32" i="54" s="1"/>
  <c r="E16" i="54"/>
  <c r="S65" i="35"/>
  <c r="E24" i="54" s="1"/>
  <c r="S164" i="35"/>
  <c r="E48" i="54" s="1"/>
  <c r="S153" i="35"/>
  <c r="E43" i="54" s="1"/>
  <c r="S154" i="35"/>
  <c r="E44" i="54" s="1"/>
  <c r="S62" i="35"/>
  <c r="E22" i="54" s="1"/>
  <c r="E17" i="53"/>
  <c r="S261" i="35"/>
  <c r="E68" i="54" s="1"/>
  <c r="S63" i="35"/>
  <c r="E23" i="54" s="1"/>
  <c r="S134" i="35"/>
  <c r="E33" i="54" s="1"/>
  <c r="S235" i="35"/>
  <c r="E63" i="54" s="1"/>
  <c r="S141" i="35"/>
  <c r="E37" i="54" s="1"/>
  <c r="S82" i="35"/>
  <c r="E26" i="54" s="1"/>
  <c r="S158" i="35"/>
  <c r="E45" i="54" s="1"/>
  <c r="S165" i="35"/>
  <c r="E49" i="54" s="1"/>
  <c r="S41" i="35"/>
  <c r="E17" i="54" s="1"/>
  <c r="S57" i="35"/>
  <c r="E19" i="54" s="1"/>
  <c r="S224" i="35"/>
  <c r="E62" i="54" s="1"/>
  <c r="S271" i="35"/>
  <c r="E74" i="54" s="1"/>
  <c r="S147" i="35"/>
  <c r="E42" i="54" s="1"/>
  <c r="S146" i="35"/>
  <c r="E41" i="54" s="1"/>
  <c r="S145" i="35"/>
  <c r="E40" i="54" s="1"/>
  <c r="AC62" i="66"/>
  <c r="AD62" i="66" s="1"/>
  <c r="D16" i="54"/>
  <c r="I225" i="35"/>
  <c r="I283" i="35" s="1"/>
  <c r="D17" i="53"/>
  <c r="M117" i="35"/>
  <c r="Q190" i="35"/>
  <c r="E77" i="54"/>
  <c r="D77" i="54"/>
  <c r="I227" i="35"/>
  <c r="I229" i="35" s="1"/>
  <c r="O163" i="15"/>
  <c r="H286" i="35"/>
  <c r="J190" i="35"/>
  <c r="J194" i="35" s="1"/>
  <c r="H227" i="35"/>
  <c r="H229" i="35" s="1"/>
  <c r="H225" i="35"/>
  <c r="H283" i="35" s="1"/>
  <c r="J281" i="35"/>
  <c r="J285" i="35" s="1"/>
  <c r="J286" i="35" s="1"/>
  <c r="D36" i="54"/>
  <c r="E36" i="54"/>
  <c r="E78" i="54"/>
  <c r="D78" i="54"/>
  <c r="E76" i="54"/>
  <c r="D76" i="54"/>
  <c r="E73" i="54"/>
  <c r="D73" i="54"/>
  <c r="E59" i="54"/>
  <c r="D59" i="54"/>
  <c r="D54" i="54"/>
  <c r="E54" i="54"/>
  <c r="E52" i="54"/>
  <c r="D52" i="54"/>
  <c r="D46" i="54"/>
  <c r="E46" i="54"/>
  <c r="D38" i="54"/>
  <c r="E38" i="54"/>
  <c r="R132" i="35"/>
  <c r="E21" i="54"/>
  <c r="D21" i="54"/>
  <c r="M190" i="35"/>
  <c r="L194" i="35"/>
  <c r="L225" i="35" s="1"/>
  <c r="M225" i="35" s="1"/>
  <c r="Q281" i="35"/>
  <c r="R281" i="35" s="1"/>
  <c r="R243" i="35"/>
  <c r="J227" i="35" l="1"/>
  <c r="J229" i="35" s="1"/>
  <c r="J225" i="35"/>
  <c r="J283" i="35" s="1"/>
  <c r="R190" i="35"/>
  <c r="Q194" i="35"/>
  <c r="R194" i="35" s="1"/>
  <c r="R117" i="35"/>
  <c r="Q121" i="35"/>
  <c r="M194" i="35"/>
  <c r="Q225" i="35" l="1"/>
  <c r="R121" i="35"/>
  <c r="L283" i="35"/>
  <c r="M283" i="35" s="1"/>
  <c r="R225" i="35" l="1"/>
  <c r="Q283" i="35"/>
  <c r="R283"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Brittany Tucker</author>
  </authors>
  <commentList>
    <comment ref="AD2" authorId="0" shapeId="0" xr:uid="{D439D304-B8E2-4302-BEC2-BF23D9F7D4F7}">
      <text>
        <r>
          <rPr>
            <b/>
            <sz val="9"/>
            <color indexed="81"/>
            <rFont val="Tahoma"/>
            <family val="2"/>
          </rPr>
          <t xml:space="preserve">These differences are due to late corrections received 12/8/23 from UVA. 
BT 2/15/24
</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Brittany Tucker</author>
    <author>Mary Christine Tuck</author>
    <author>Christy Tuck</author>
  </authors>
  <commentList>
    <comment ref="A19" authorId="0" shapeId="0" xr:uid="{DF83C8DD-3043-4B0B-81BB-2A908D28FDC5}">
      <text>
        <r>
          <rPr>
            <b/>
            <sz val="9"/>
            <color indexed="81"/>
            <rFont val="Arial"/>
            <family val="2"/>
          </rPr>
          <t>SBITA payments before commencement should be recorded as CIP.</t>
        </r>
        <r>
          <rPr>
            <sz val="9"/>
            <color indexed="81"/>
            <rFont val="Arial"/>
            <family val="2"/>
          </rPr>
          <t xml:space="preserve">
</t>
        </r>
      </text>
    </comment>
    <comment ref="M25" authorId="1" shapeId="0" xr:uid="{00000000-0006-0000-0C00-000001000000}">
      <text>
        <r>
          <rPr>
            <b/>
            <sz val="9"/>
            <color indexed="81"/>
            <rFont val="Arial"/>
            <family val="2"/>
          </rPr>
          <t xml:space="preserve">Total Nondepreciable Capital Assets </t>
        </r>
        <r>
          <rPr>
            <sz val="9"/>
            <color indexed="81"/>
            <rFont val="Arial"/>
            <family val="2"/>
          </rPr>
          <t>per the footnote must agree to the amount reported on the financial statement template.  If not, an "ERROR" message will appear.  Make corrections as deemed necessary.</t>
        </r>
      </text>
    </comment>
    <comment ref="A41" authorId="2" shapeId="0" xr:uid="{00000000-0006-0000-0C00-000002000000}">
      <text>
        <r>
          <rPr>
            <sz val="9"/>
            <color indexed="81"/>
            <rFont val="Arial"/>
            <family val="2"/>
          </rPr>
          <t xml:space="preserve">Assets obtained through Financed Purchase Obligations should </t>
        </r>
        <r>
          <rPr>
            <b/>
            <u/>
            <sz val="9"/>
            <color indexed="81"/>
            <rFont val="Arial"/>
            <family val="2"/>
          </rPr>
          <t>not</t>
        </r>
        <r>
          <rPr>
            <sz val="9"/>
            <color indexed="81"/>
            <rFont val="Arial"/>
            <family val="2"/>
          </rPr>
          <t xml:space="preserve"> be reported as Right-to-Use Intangible Assets.  These should be reported as Other Capital Assets above.
</t>
        </r>
      </text>
    </comment>
    <comment ref="A48" authorId="0" shapeId="0" xr:uid="{8C996C3B-3B07-423A-BDF0-5ECC2B9C1C0B}">
      <text>
        <r>
          <rPr>
            <sz val="9"/>
            <color indexed="81"/>
            <rFont val="Tahoma"/>
            <family val="2"/>
          </rPr>
          <t xml:space="preserve">If the institution is the operator in a public-private and/or public-public partnership arrangement (PPP) pursuant to </t>
        </r>
        <r>
          <rPr>
            <b/>
            <u/>
            <sz val="9"/>
            <color indexed="81"/>
            <rFont val="Tahoma"/>
            <family val="2"/>
          </rPr>
          <t>GASBS No. 94</t>
        </r>
        <r>
          <rPr>
            <sz val="9"/>
            <color indexed="81"/>
            <rFont val="Tahoma"/>
            <family val="2"/>
          </rPr>
          <t xml:space="preserve">, refer </t>
        </r>
        <r>
          <rPr>
            <b/>
            <u/>
            <sz val="9"/>
            <color indexed="81"/>
            <rFont val="Tahoma"/>
            <family val="2"/>
          </rPr>
          <t>GASBS No. 94</t>
        </r>
        <r>
          <rPr>
            <sz val="9"/>
            <color indexed="81"/>
            <rFont val="Tahoma"/>
            <family val="2"/>
          </rPr>
          <t xml:space="preserve"> for guidance regarding the Right-to-Use Intangible Assets.</t>
        </r>
        <r>
          <rPr>
            <b/>
            <sz val="9"/>
            <color indexed="81"/>
            <rFont val="Tahoma"/>
            <family val="2"/>
          </rPr>
          <t xml:space="preserve">
</t>
        </r>
      </text>
    </comment>
    <comment ref="M79" authorId="1" shapeId="0" xr:uid="{00000000-0006-0000-0C00-000003000000}">
      <text>
        <r>
          <rPr>
            <b/>
            <sz val="9"/>
            <color indexed="81"/>
            <rFont val="Arial"/>
            <family val="2"/>
          </rPr>
          <t xml:space="preserve">Total Other Capital Assets, Net
</t>
        </r>
        <r>
          <rPr>
            <sz val="9"/>
            <color indexed="81"/>
            <rFont val="Arial"/>
            <family val="2"/>
          </rPr>
          <t xml:space="preserve">per the footnote must agree to the amount reported on the financial statement template.  If not, an "ERROR" message will appear.  Make corrections as deemed necessary.  </t>
        </r>
      </text>
    </comment>
    <comment ref="M325" authorId="1" shapeId="0" xr:uid="{00000000-0006-0000-0C00-000005000000}">
      <text>
        <r>
          <rPr>
            <b/>
            <sz val="9"/>
            <color indexed="81"/>
            <rFont val="Arial"/>
            <family val="2"/>
          </rPr>
          <t xml:space="preserve">Footnote Elimination Entries for Total Nondepreciable Capital Assets </t>
        </r>
        <r>
          <rPr>
            <sz val="9"/>
            <color indexed="81"/>
            <rFont val="Arial"/>
            <family val="2"/>
          </rPr>
          <t>must agree to the amount reported on the Elimination Entries to FST tab for the HEI.  If not,  "ERROR" messages will appear.  Make corrections as deemed necessary.</t>
        </r>
      </text>
    </comment>
    <comment ref="M381" authorId="1" shapeId="0" xr:uid="{00000000-0006-0000-0C00-000006000000}">
      <text>
        <r>
          <rPr>
            <b/>
            <sz val="9"/>
            <color indexed="81"/>
            <rFont val="Arial"/>
            <family val="2"/>
          </rPr>
          <t xml:space="preserve">Footnote Elimination Entries for Total Other Capital Assets, Net </t>
        </r>
        <r>
          <rPr>
            <sz val="9"/>
            <color indexed="81"/>
            <rFont val="Arial"/>
            <family val="2"/>
          </rPr>
          <t>must agree to the amount reported on the Elimination Entries to FST tab for the HEI.  If not,  "ERROR" messages will appear.  Make corrections as deemed necessary.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Mary Christine Tuck</author>
    <author>Brittany Tucker</author>
    <author>Christy Tuck</author>
    <author>VITA Program</author>
  </authors>
  <commentList>
    <comment ref="E15" authorId="0" shapeId="0" xr:uid="{00000000-0006-0000-0D00-000001000000}">
      <text>
        <r>
          <rPr>
            <b/>
            <sz val="10"/>
            <color indexed="81"/>
            <rFont val="Arial"/>
            <family val="2"/>
          </rPr>
          <t>Balance June 30, 2024 Amounts:</t>
        </r>
        <r>
          <rPr>
            <sz val="10"/>
            <color indexed="81"/>
            <rFont val="Arial"/>
            <family val="2"/>
          </rPr>
          <t xml:space="preserve">
This total balance at June 30, 2024, must agree to the total current and noncurrent long-term liabilities on the financial statement template.  If not, an "ERROR" message will appear.  Make corrections as deemed necessary.</t>
        </r>
      </text>
    </comment>
    <comment ref="F16" authorId="0" shapeId="0" xr:uid="{00000000-0006-0000-0D00-000002000000}">
      <text>
        <r>
          <rPr>
            <b/>
            <sz val="10"/>
            <color indexed="81"/>
            <rFont val="Arial"/>
            <family val="2"/>
          </rPr>
          <t>Compensated Absences</t>
        </r>
        <r>
          <rPr>
            <sz val="10"/>
            <color indexed="81"/>
            <rFont val="Arial"/>
            <family val="2"/>
          </rPr>
          <t>:  Directions for computing required amounts are located in the Manual Leave Liability Calculation Guidelines on page 8.</t>
        </r>
      </text>
    </comment>
    <comment ref="A18" authorId="1" shapeId="0" xr:uid="{51111FD5-EEF5-4A86-9CDE-65844A7A4ADD}">
      <text>
        <r>
          <rPr>
            <sz val="9"/>
            <color indexed="81"/>
            <rFont val="Tahoma"/>
            <family val="2"/>
          </rPr>
          <t xml:space="preserve">If the institution is the operator in a public- private and/or public-public partnership arrangement (PPP) pursuant to </t>
        </r>
        <r>
          <rPr>
            <b/>
            <u/>
            <sz val="9"/>
            <color indexed="81"/>
            <rFont val="Tahoma"/>
            <family val="2"/>
          </rPr>
          <t>GASBS No. 94</t>
        </r>
        <r>
          <rPr>
            <sz val="9"/>
            <color indexed="81"/>
            <rFont val="Tahoma"/>
            <family val="2"/>
          </rPr>
          <t xml:space="preserve">, refer to </t>
        </r>
        <r>
          <rPr>
            <b/>
            <u/>
            <sz val="9"/>
            <color indexed="81"/>
            <rFont val="Tahoma"/>
            <family val="2"/>
          </rPr>
          <t>GASBS No. 94</t>
        </r>
        <r>
          <rPr>
            <sz val="9"/>
            <color indexed="81"/>
            <rFont val="Tahoma"/>
            <family val="2"/>
          </rPr>
          <t xml:space="preserve"> for guidance regarding the Long-term Operator Installment Payment Liabilities.
</t>
        </r>
      </text>
    </comment>
    <comment ref="J27" authorId="1" shapeId="0" xr:uid="{876798F5-1E2E-4901-958D-8E0086E34734}">
      <text>
        <r>
          <rPr>
            <sz val="9"/>
            <color indexed="81"/>
            <rFont val="Tahoma"/>
            <family val="2"/>
          </rPr>
          <t xml:space="preserve">If the institution reports Bonds Payable (issued by Institution-Institutional Debt) in the Direct Placement as defined in </t>
        </r>
        <r>
          <rPr>
            <b/>
            <u/>
            <sz val="9"/>
            <color indexed="81"/>
            <rFont val="Tahoma"/>
            <family val="2"/>
          </rPr>
          <t>GASBS No. 88</t>
        </r>
        <r>
          <rPr>
            <sz val="9"/>
            <color indexed="81"/>
            <rFont val="Tahoma"/>
            <family val="2"/>
          </rPr>
          <t xml:space="preserve"> category </t>
        </r>
        <r>
          <rPr>
            <u/>
            <sz val="9"/>
            <color indexed="81"/>
            <rFont val="Tahoma"/>
            <family val="2"/>
          </rPr>
          <t>and</t>
        </r>
        <r>
          <rPr>
            <sz val="9"/>
            <color indexed="81"/>
            <rFont val="Tahoma"/>
            <family val="2"/>
          </rPr>
          <t xml:space="preserve"> the Other category, Supplemental Item 7c requires the following: schedule of changes in long-term liabilities for Direct Placements and the Other category separately.
</t>
        </r>
      </text>
    </comment>
    <comment ref="L28" authorId="2" shapeId="0" xr:uid="{00000000-0006-0000-0D00-000003000000}">
      <text>
        <r>
          <rPr>
            <sz val="10"/>
            <color indexed="81"/>
            <rFont val="Arial"/>
            <family val="2"/>
          </rPr>
          <t xml:space="preserve">Note A:   </t>
        </r>
        <r>
          <rPr>
            <b/>
            <u/>
            <sz val="10"/>
            <color indexed="81"/>
            <rFont val="Arial"/>
            <family val="2"/>
          </rPr>
          <t>GASBS No. 65</t>
        </r>
        <r>
          <rPr>
            <sz val="10"/>
            <color indexed="81"/>
            <rFont val="Arial"/>
            <family val="2"/>
          </rPr>
          <t xml:space="preserve"> requires the deferral on debt defeasance amounts to be reported as deferred outflows of resources for a loss and deferred inflows of resources for a gain.  </t>
        </r>
      </text>
    </comment>
    <comment ref="A32" authorId="1" shapeId="0" xr:uid="{6B09245C-4CFF-4416-A389-0C71B78B36B7}">
      <text>
        <r>
          <rPr>
            <sz val="9"/>
            <color indexed="81"/>
            <rFont val="Tahoma"/>
            <family val="2"/>
          </rPr>
          <t xml:space="preserve">This line item includes a reference to </t>
        </r>
        <r>
          <rPr>
            <b/>
            <u/>
            <sz val="9"/>
            <color indexed="81"/>
            <rFont val="Tahoma"/>
            <family val="2"/>
          </rPr>
          <t>GASBS No. 94</t>
        </r>
        <r>
          <rPr>
            <sz val="9"/>
            <color indexed="81"/>
            <rFont val="Tahoma"/>
            <family val="2"/>
          </rPr>
          <t xml:space="preserve">.  Refer to </t>
        </r>
        <r>
          <rPr>
            <b/>
            <u/>
            <sz val="9"/>
            <color indexed="81"/>
            <rFont val="Tahoma"/>
            <family val="2"/>
          </rPr>
          <t>GASBS No. 94</t>
        </r>
        <r>
          <rPr>
            <sz val="9"/>
            <color indexed="81"/>
            <rFont val="Tahoma"/>
            <family val="2"/>
          </rPr>
          <t xml:space="preserve"> for guidance when components of an availability payment arrangement (APA) related to the design, construction, or financing of a nonfinancial asset should be reported as a financed purchase.</t>
        </r>
      </text>
    </comment>
    <comment ref="A52" authorId="2" shapeId="0" xr:uid="{00000000-0006-0000-0D00-000004000000}">
      <text>
        <r>
          <rPr>
            <sz val="10"/>
            <color indexed="81"/>
            <rFont val="Arial"/>
            <family val="2"/>
          </rPr>
          <t xml:space="preserve">DOA may request a copy of the institution's footnote disclosures for any self-insurance programs.   
</t>
        </r>
        <r>
          <rPr>
            <sz val="9"/>
            <color indexed="81"/>
            <rFont val="Arial"/>
            <family val="2"/>
          </rPr>
          <t xml:space="preserve">
</t>
        </r>
      </text>
    </comment>
    <comment ref="F109" authorId="3" shapeId="0" xr:uid="{00000000-0006-0000-0D00-000007000000}">
      <text>
        <r>
          <rPr>
            <b/>
            <sz val="10"/>
            <color indexed="81"/>
            <rFont val="Arial"/>
            <family val="2"/>
          </rPr>
          <t xml:space="preserve">Installment Purchases Due Within One Year:
</t>
        </r>
        <r>
          <rPr>
            <sz val="10"/>
            <color indexed="81"/>
            <rFont val="Arial"/>
            <family val="2"/>
          </rPr>
          <t>The Due Within One Year in Part 1 should agree to the FY2025 principal amount in Part 2.</t>
        </r>
        <r>
          <rPr>
            <sz val="9"/>
            <color indexed="81"/>
            <rFont val="Tahoma"/>
            <family val="2"/>
          </rPr>
          <t xml:space="preserve">
</t>
        </r>
      </text>
    </comment>
    <comment ref="B124" authorId="0" shapeId="0" xr:uid="{00000000-0006-0000-0D00-000008000000}">
      <text>
        <r>
          <rPr>
            <b/>
            <sz val="10"/>
            <color indexed="81"/>
            <rFont val="Arial"/>
            <family val="2"/>
          </rPr>
          <t>Total Future Principal Amounts:</t>
        </r>
        <r>
          <rPr>
            <sz val="10"/>
            <color indexed="81"/>
            <rFont val="Arial"/>
            <family val="2"/>
          </rPr>
          <t xml:space="preserve">
The total future principal payments for installment purchase obligations must equal to total current and noncurrent installment purchase obligations reported on the financial statement template.  If not, an "ERROR" message will appear.  Correct  amounts.</t>
        </r>
      </text>
    </comment>
    <comment ref="F131" authorId="3" shapeId="0" xr:uid="{00000000-0006-0000-0D00-000009000000}">
      <text>
        <r>
          <rPr>
            <b/>
            <sz val="10"/>
            <color indexed="81"/>
            <rFont val="Arial"/>
            <family val="2"/>
          </rPr>
          <t>Long-term Lease Liability (</t>
        </r>
        <r>
          <rPr>
            <b/>
            <u/>
            <sz val="10"/>
            <color indexed="81"/>
            <rFont val="Arial"/>
            <family val="2"/>
          </rPr>
          <t>GASBS No. 87</t>
        </r>
        <r>
          <rPr>
            <b/>
            <sz val="10"/>
            <color indexed="81"/>
            <rFont val="Arial"/>
            <family val="2"/>
          </rPr>
          <t xml:space="preserve">):
</t>
        </r>
        <r>
          <rPr>
            <sz val="10"/>
            <color indexed="81"/>
            <rFont val="Arial"/>
            <family val="2"/>
          </rPr>
          <t>The Due Within One Year in Part 1 should agree to the FY2025 principal amount in Part 3.</t>
        </r>
        <r>
          <rPr>
            <sz val="9"/>
            <color indexed="81"/>
            <rFont val="Tahoma"/>
            <family val="2"/>
          </rPr>
          <t xml:space="preserve">
</t>
        </r>
      </text>
    </comment>
    <comment ref="B146" authorId="0" shapeId="0" xr:uid="{00000000-0006-0000-0D00-00000A000000}">
      <text>
        <r>
          <rPr>
            <b/>
            <sz val="10"/>
            <color indexed="81"/>
            <rFont val="Arial"/>
            <family val="2"/>
          </rPr>
          <t>Total Future Principal Amounts:</t>
        </r>
        <r>
          <rPr>
            <sz val="10"/>
            <color indexed="81"/>
            <rFont val="Arial"/>
            <family val="2"/>
          </rPr>
          <t xml:space="preserve">
The total future principal payments for long-term lease liability (</t>
        </r>
        <r>
          <rPr>
            <b/>
            <u/>
            <sz val="10"/>
            <color indexed="81"/>
            <rFont val="Arial"/>
            <family val="2"/>
          </rPr>
          <t>GASBS No. 87</t>
        </r>
        <r>
          <rPr>
            <sz val="10"/>
            <color indexed="81"/>
            <rFont val="Arial"/>
            <family val="2"/>
          </rPr>
          <t xml:space="preserve">) must equal to total current and noncurrent long-term lease liability </t>
        </r>
        <r>
          <rPr>
            <b/>
            <u/>
            <sz val="10"/>
            <color indexed="81"/>
            <rFont val="Arial"/>
            <family val="2"/>
          </rPr>
          <t>(GASBS No. 87)</t>
        </r>
        <r>
          <rPr>
            <sz val="10"/>
            <color indexed="81"/>
            <rFont val="Arial"/>
            <family val="2"/>
          </rPr>
          <t xml:space="preserve"> reported on the financial statement template.  If not, an "ERROR" message will appear.  Correct  amounts.</t>
        </r>
      </text>
    </comment>
    <comment ref="F158" authorId="3" shapeId="0" xr:uid="{00000000-0006-0000-0D00-00000B000000}">
      <text>
        <r>
          <rPr>
            <b/>
            <sz val="10"/>
            <color indexed="81"/>
            <rFont val="Arial"/>
            <family val="2"/>
          </rPr>
          <t>Financed Purchase Obligation (</t>
        </r>
        <r>
          <rPr>
            <b/>
            <u/>
            <sz val="10"/>
            <color indexed="81"/>
            <rFont val="Arial"/>
            <family val="2"/>
          </rPr>
          <t>GASBS Nos. 87 &amp; 94</t>
        </r>
        <r>
          <rPr>
            <b/>
            <sz val="10"/>
            <color indexed="81"/>
            <rFont val="Arial"/>
            <family val="2"/>
          </rPr>
          <t xml:space="preserve">):
</t>
        </r>
        <r>
          <rPr>
            <sz val="10"/>
            <color indexed="81"/>
            <rFont val="Arial"/>
            <family val="2"/>
          </rPr>
          <t>The Due Within One Year in Part 1 should agree to the FY2025 principal amount in Part 4.</t>
        </r>
        <r>
          <rPr>
            <sz val="9"/>
            <color indexed="81"/>
            <rFont val="Tahoma"/>
            <family val="2"/>
          </rPr>
          <t xml:space="preserve">
</t>
        </r>
      </text>
    </comment>
    <comment ref="B173" authorId="0" shapeId="0" xr:uid="{00000000-0006-0000-0D00-00000C000000}">
      <text>
        <r>
          <rPr>
            <b/>
            <sz val="10"/>
            <color indexed="81"/>
            <rFont val="Arial"/>
            <family val="2"/>
          </rPr>
          <t>Total Future Principal Amounts:</t>
        </r>
        <r>
          <rPr>
            <sz val="10"/>
            <color indexed="81"/>
            <rFont val="Arial"/>
            <family val="2"/>
          </rPr>
          <t xml:space="preserve">
The total future principal payments for Financed Purchase Obligations (</t>
        </r>
        <r>
          <rPr>
            <b/>
            <u/>
            <sz val="10"/>
            <color indexed="81"/>
            <rFont val="Arial"/>
            <family val="2"/>
          </rPr>
          <t>GASBS Nos. 87 &amp; 94</t>
        </r>
        <r>
          <rPr>
            <sz val="10"/>
            <color indexed="81"/>
            <rFont val="Arial"/>
            <family val="2"/>
          </rPr>
          <t>) must equal to total current and noncurrent Financed Purchase Obligations (</t>
        </r>
        <r>
          <rPr>
            <b/>
            <u/>
            <sz val="10"/>
            <color indexed="81"/>
            <rFont val="Arial"/>
            <family val="2"/>
          </rPr>
          <t>GASBS Nos. 87 &amp; 94</t>
        </r>
        <r>
          <rPr>
            <sz val="10"/>
            <color indexed="81"/>
            <rFont val="Arial"/>
            <family val="2"/>
          </rPr>
          <t>) reported on the financial statement template.  If not, an "ERROR" message will appear.  Correct  amounts.</t>
        </r>
      </text>
    </comment>
    <comment ref="F180" authorId="3" shapeId="0" xr:uid="{C1822AB2-6121-46CF-B850-F5DD1AB0A48E}">
      <text>
        <r>
          <rPr>
            <b/>
            <sz val="9"/>
            <color indexed="81"/>
            <rFont val="Arial"/>
            <family val="2"/>
          </rPr>
          <t>Long-term Subscription-based Information Technology Arrangements Liabilities (</t>
        </r>
        <r>
          <rPr>
            <b/>
            <u/>
            <sz val="9"/>
            <color indexed="81"/>
            <rFont val="Arial"/>
            <family val="2"/>
          </rPr>
          <t>GASBS No. 96</t>
        </r>
        <r>
          <rPr>
            <b/>
            <sz val="9"/>
            <color indexed="81"/>
            <rFont val="Arial"/>
            <family val="2"/>
          </rPr>
          <t xml:space="preserve">):
</t>
        </r>
        <r>
          <rPr>
            <sz val="10"/>
            <color indexed="81"/>
            <rFont val="Arial"/>
            <family val="2"/>
          </rPr>
          <t>The Due Within One Year in Part 1 should agree to the FY2025 principal amount in Part 5</t>
        </r>
        <r>
          <rPr>
            <sz val="9"/>
            <color indexed="81"/>
            <rFont val="Arial"/>
            <family val="2"/>
          </rPr>
          <t>.</t>
        </r>
        <r>
          <rPr>
            <sz val="9"/>
            <color indexed="81"/>
            <rFont val="Tahoma"/>
            <family val="2"/>
          </rPr>
          <t xml:space="preserve">
</t>
        </r>
      </text>
    </comment>
    <comment ref="O180" authorId="3" shapeId="0" xr:uid="{1A822A86-A85B-4B97-9F27-7C72B61BCE0A}">
      <text>
        <r>
          <rPr>
            <b/>
            <sz val="9"/>
            <color indexed="81"/>
            <rFont val="Arial"/>
            <family val="2"/>
          </rPr>
          <t>Long-term Operator Installment Payment Liabilities (</t>
        </r>
        <r>
          <rPr>
            <b/>
            <u/>
            <sz val="9"/>
            <color indexed="81"/>
            <rFont val="Arial"/>
            <family val="2"/>
          </rPr>
          <t>GASBS No. 94</t>
        </r>
        <r>
          <rPr>
            <b/>
            <sz val="9"/>
            <color indexed="81"/>
            <rFont val="Arial"/>
            <family val="2"/>
          </rPr>
          <t xml:space="preserve">):
</t>
        </r>
        <r>
          <rPr>
            <sz val="10"/>
            <color indexed="81"/>
            <rFont val="Arial"/>
            <family val="2"/>
          </rPr>
          <t>The Due Within One Year in Part 1 should agree to the FY2025 principal amount in Part 5.1.</t>
        </r>
        <r>
          <rPr>
            <sz val="10"/>
            <color indexed="81"/>
            <rFont val="Tahoma"/>
            <family val="2"/>
          </rPr>
          <t xml:space="preserve">
</t>
        </r>
      </text>
    </comment>
    <comment ref="B194" authorId="0" shapeId="0" xr:uid="{6307A056-A4B3-451E-9067-BA15C6FF584F}">
      <text>
        <r>
          <rPr>
            <b/>
            <sz val="9"/>
            <color indexed="81"/>
            <rFont val="Arial"/>
            <family val="2"/>
          </rPr>
          <t>Total Future Principal Amounts:</t>
        </r>
        <r>
          <rPr>
            <sz val="9"/>
            <color indexed="81"/>
            <rFont val="Arial"/>
            <family val="2"/>
          </rPr>
          <t xml:space="preserve">
The total future principal payments for Long-term Subscription-based Information Technology Arrangements Liabilities (</t>
        </r>
        <r>
          <rPr>
            <b/>
            <u/>
            <sz val="9"/>
            <color indexed="81"/>
            <rFont val="Arial"/>
            <family val="2"/>
          </rPr>
          <t>GASBS No. 96</t>
        </r>
        <r>
          <rPr>
            <sz val="9"/>
            <color indexed="81"/>
            <rFont val="Arial"/>
            <family val="2"/>
          </rPr>
          <t>) must equal to total current and noncurrent Long-term Subscription-based Information Technology Arrangements Liabilities (</t>
        </r>
        <r>
          <rPr>
            <b/>
            <u/>
            <sz val="9"/>
            <color indexed="81"/>
            <rFont val="Arial"/>
            <family val="2"/>
          </rPr>
          <t>GASBS No. 96</t>
        </r>
        <r>
          <rPr>
            <sz val="9"/>
            <color indexed="81"/>
            <rFont val="Arial"/>
            <family val="2"/>
          </rPr>
          <t>) reported on the financial statement template.  If not, an "ERROR" message will appear.  Correct  amounts.</t>
        </r>
      </text>
    </comment>
    <comment ref="K194" authorId="0" shapeId="0" xr:uid="{AEE086D7-985B-4605-AD8E-5A97A308B156}">
      <text>
        <r>
          <rPr>
            <b/>
            <sz val="9"/>
            <color indexed="81"/>
            <rFont val="Arial"/>
            <family val="2"/>
          </rPr>
          <t>Total Future Principal Amounts:</t>
        </r>
        <r>
          <rPr>
            <sz val="9"/>
            <color indexed="81"/>
            <rFont val="Arial"/>
            <family val="2"/>
          </rPr>
          <t xml:space="preserve">
The total future principal payments for Long-term Operator Installment Payment Liabilities (</t>
        </r>
        <r>
          <rPr>
            <b/>
            <u/>
            <sz val="9"/>
            <color indexed="81"/>
            <rFont val="Arial"/>
            <family val="2"/>
          </rPr>
          <t>GASBS No. 94</t>
        </r>
        <r>
          <rPr>
            <sz val="9"/>
            <color indexed="81"/>
            <rFont val="Arial"/>
            <family val="2"/>
          </rPr>
          <t>) must equal to total current and noncurrent  Long-term Operator Installment Payment Liabilities (</t>
        </r>
        <r>
          <rPr>
            <b/>
            <u/>
            <sz val="9"/>
            <color indexed="81"/>
            <rFont val="Arial"/>
            <family val="2"/>
          </rPr>
          <t>GASBS No. 94</t>
        </r>
        <r>
          <rPr>
            <sz val="9"/>
            <color indexed="81"/>
            <rFont val="Arial"/>
            <family val="2"/>
          </rPr>
          <t>) reported on the financial statement template.  If not, an "ERROR" message will appear.  Correct  amounts.</t>
        </r>
      </text>
    </comment>
    <comment ref="O209" authorId="2" shapeId="0" xr:uid="{00000000-0006-0000-0D00-00000D000000}">
      <text>
        <r>
          <rPr>
            <sz val="9"/>
            <color indexed="81"/>
            <rFont val="Arial"/>
            <family val="2"/>
          </rPr>
          <t xml:space="preserve">Applicable institutions that report amounts in Part 6 must also submit Supplemental Item 7c and 7d.
In addition, future net cash flows for hedging derivative instruments must be provided on the </t>
        </r>
        <r>
          <rPr>
            <b/>
            <sz val="9"/>
            <color indexed="81"/>
            <rFont val="Arial"/>
            <family val="2"/>
          </rPr>
          <t xml:space="preserve"> Hedged Debt </t>
        </r>
        <r>
          <rPr>
            <sz val="9"/>
            <color indexed="81"/>
            <rFont val="Arial"/>
            <family val="2"/>
          </rPr>
          <t>tab in Supplemental Item 7b, Derivative Instruments.</t>
        </r>
      </text>
    </comment>
    <comment ref="Q211" authorId="3" shapeId="0" xr:uid="{00000000-0006-0000-0D00-00000E000000}">
      <text>
        <r>
          <rPr>
            <b/>
            <sz val="10"/>
            <color indexed="81"/>
            <rFont val="Arial"/>
            <family val="2"/>
          </rPr>
          <t>Total Bonds Payable (Institutional debt - Issued by the Institution) Due Within One Year:</t>
        </r>
        <r>
          <rPr>
            <sz val="10"/>
            <color indexed="81"/>
            <rFont val="Arial"/>
            <family val="2"/>
          </rPr>
          <t xml:space="preserve">
Due within one year in Part 1 should agree to the FY 2025 total principal amount in Part 6 except as follows:  If demand bonds and/or bonds that are callable because of a debt violation must be reported as a current liability in accordance with GASB Interpretation 1 and/or </t>
        </r>
        <r>
          <rPr>
            <b/>
            <u/>
            <sz val="10"/>
            <color indexed="81"/>
            <rFont val="Arial"/>
            <family val="2"/>
          </rPr>
          <t>GASBS No. 62</t>
        </r>
        <r>
          <rPr>
            <sz val="10"/>
            <color indexed="81"/>
            <rFont val="Arial"/>
            <family val="2"/>
          </rPr>
          <t>.</t>
        </r>
      </text>
    </comment>
    <comment ref="B229" authorId="0" shapeId="0" xr:uid="{00000000-0006-0000-0D00-00000F000000}">
      <text>
        <r>
          <rPr>
            <b/>
            <sz val="10"/>
            <color indexed="81"/>
            <rFont val="Arial"/>
            <family val="2"/>
          </rPr>
          <t>Total Bonds Payable Principal Amount (Issued by Institution-Institutional debt):</t>
        </r>
        <r>
          <rPr>
            <sz val="10"/>
            <color indexed="81"/>
            <rFont val="Arial"/>
            <family val="2"/>
          </rPr>
          <t xml:space="preserve">
The total bonds payable principal amount must agree to the amount reported in Part 1 of this tab.  If not, an "ERROR" message will appear.  Correct amounts.</t>
        </r>
        <r>
          <rPr>
            <sz val="8"/>
            <color indexed="81"/>
            <rFont val="Tahoma"/>
            <family val="2"/>
          </rPr>
          <t xml:space="preserve">
 </t>
        </r>
      </text>
    </comment>
    <comment ref="I229" authorId="0" shapeId="0" xr:uid="{00000000-0006-0000-0D00-000010000000}">
      <text>
        <r>
          <rPr>
            <b/>
            <sz val="10"/>
            <color indexed="81"/>
            <rFont val="Arial"/>
            <family val="2"/>
          </rPr>
          <t>Total Bonds Payable Principal Amount (Issued by Institution-Institutional debt):</t>
        </r>
        <r>
          <rPr>
            <sz val="10"/>
            <color indexed="81"/>
            <rFont val="Arial"/>
            <family val="2"/>
          </rPr>
          <t xml:space="preserve">
The total bonds payable principal amount must agree to the amount reported in Part 1 of this tab.  If not, an "ERROR" message will appear.  Correct amounts.</t>
        </r>
        <r>
          <rPr>
            <sz val="8"/>
            <color indexed="81"/>
            <rFont val="Tahoma"/>
            <family val="2"/>
          </rPr>
          <t xml:space="preserve">
 </t>
        </r>
      </text>
    </comment>
    <comment ref="M229" authorId="0" shapeId="0" xr:uid="{00000000-0006-0000-0D00-000011000000}">
      <text>
        <r>
          <rPr>
            <b/>
            <sz val="10"/>
            <color indexed="81"/>
            <rFont val="Arial"/>
            <family val="2"/>
          </rPr>
          <t>Total Bonds Payable Principal Amount (Issued by Institution-Institutional debt):</t>
        </r>
        <r>
          <rPr>
            <sz val="10"/>
            <color indexed="81"/>
            <rFont val="Arial"/>
            <family val="2"/>
          </rPr>
          <t xml:space="preserve">
The total bonds payable principal amount must agree to the amount reported in Part 1 of this tab.  If not, an "ERROR" message will appear.  Correct amounts.</t>
        </r>
        <r>
          <rPr>
            <sz val="8"/>
            <color indexed="81"/>
            <rFont val="Tahoma"/>
            <family val="2"/>
          </rPr>
          <t xml:space="preserve">
 </t>
        </r>
      </text>
    </comment>
    <comment ref="F296" authorId="3" shapeId="0" xr:uid="{00000000-0006-0000-0D00-000012000000}">
      <text>
        <r>
          <rPr>
            <b/>
            <sz val="10"/>
            <color indexed="81"/>
            <rFont val="Arial"/>
            <family val="2"/>
          </rPr>
          <t xml:space="preserve">Elimination Entries to Installment Purchases Due Within One Year:
</t>
        </r>
        <r>
          <rPr>
            <sz val="10"/>
            <color indexed="81"/>
            <rFont val="Arial"/>
            <family val="2"/>
          </rPr>
          <t>The Due Within One Year in Part 7 should agree to the FY2025 principal amount in Part 8.</t>
        </r>
        <r>
          <rPr>
            <sz val="9"/>
            <color indexed="81"/>
            <rFont val="Tahoma"/>
            <family val="2"/>
          </rPr>
          <t xml:space="preserve">
</t>
        </r>
      </text>
    </comment>
    <comment ref="B311" authorId="0" shapeId="0" xr:uid="{00000000-0006-0000-0D00-000013000000}">
      <text>
        <r>
          <rPr>
            <b/>
            <sz val="10"/>
            <color indexed="81"/>
            <rFont val="Arial"/>
            <family val="2"/>
          </rPr>
          <t>Eliminations to Total Future Principal Amounts:</t>
        </r>
        <r>
          <rPr>
            <sz val="10"/>
            <color indexed="81"/>
            <rFont val="Arial"/>
            <family val="2"/>
          </rPr>
          <t xml:space="preserve">
The total elimination entries for future principal payments for installment purchase obligations must equal to total current and noncurrent installment purchase obligation elimination entries reported on the Elimination Entries to FST tab.  If not, an "ERROR" message will appear.  Correct  amounts.</t>
        </r>
      </text>
    </comment>
    <comment ref="F318" authorId="3" shapeId="0" xr:uid="{00000000-0006-0000-0D00-000014000000}">
      <text>
        <r>
          <rPr>
            <b/>
            <sz val="10"/>
            <color indexed="81"/>
            <rFont val="Arial"/>
            <family val="2"/>
          </rPr>
          <t xml:space="preserve">Elimination Entries to Long-term Lease Liability </t>
        </r>
        <r>
          <rPr>
            <b/>
            <u/>
            <sz val="10"/>
            <color indexed="81"/>
            <rFont val="Arial"/>
            <family val="2"/>
          </rPr>
          <t>(GASBS No. 87</t>
        </r>
        <r>
          <rPr>
            <b/>
            <sz val="10"/>
            <color indexed="81"/>
            <rFont val="Arial"/>
            <family val="2"/>
          </rPr>
          <t xml:space="preserve">) Due Within One Year:
</t>
        </r>
        <r>
          <rPr>
            <sz val="10"/>
            <color indexed="81"/>
            <rFont val="Arial"/>
            <family val="2"/>
          </rPr>
          <t>The Due Within One Year in Part 7 should agree to the FY2025 principal amount in Part 9.</t>
        </r>
        <r>
          <rPr>
            <sz val="9"/>
            <color indexed="81"/>
            <rFont val="Tahoma"/>
            <family val="2"/>
          </rPr>
          <t xml:space="preserve">
</t>
        </r>
      </text>
    </comment>
    <comment ref="B333" authorId="0" shapeId="0" xr:uid="{00000000-0006-0000-0D00-000015000000}">
      <text>
        <r>
          <rPr>
            <b/>
            <sz val="10"/>
            <color indexed="81"/>
            <rFont val="Arial"/>
            <family val="2"/>
          </rPr>
          <t>Eliminations to Total Future Principal Amounts:</t>
        </r>
        <r>
          <rPr>
            <sz val="10"/>
            <color indexed="81"/>
            <rFont val="Arial"/>
            <family val="2"/>
          </rPr>
          <t xml:space="preserve">
The total elimination entries for future principal payments for Long-term Lease Liability (</t>
        </r>
        <r>
          <rPr>
            <b/>
            <u/>
            <sz val="10"/>
            <color indexed="81"/>
            <rFont val="Arial"/>
            <family val="2"/>
          </rPr>
          <t>GASBS No. 87</t>
        </r>
        <r>
          <rPr>
            <sz val="10"/>
            <color indexed="81"/>
            <rFont val="Arial"/>
            <family val="2"/>
          </rPr>
          <t xml:space="preserve">) must equal to total current and noncurrent  Long-term Lease Liability </t>
        </r>
        <r>
          <rPr>
            <b/>
            <u/>
            <sz val="10"/>
            <color indexed="81"/>
            <rFont val="Arial"/>
            <family val="2"/>
          </rPr>
          <t>(GASBS No. 87</t>
        </r>
        <r>
          <rPr>
            <sz val="10"/>
            <color indexed="81"/>
            <rFont val="Arial"/>
            <family val="2"/>
          </rPr>
          <t>) elimination entries reported on the Elimination Entries to FST tab.  If not, an "ERROR" message will appear.  Correct  amounts.</t>
        </r>
      </text>
    </comment>
    <comment ref="F344" authorId="3" shapeId="0" xr:uid="{00000000-0006-0000-0D00-000016000000}">
      <text>
        <r>
          <rPr>
            <b/>
            <sz val="10"/>
            <color indexed="81"/>
            <rFont val="Arial"/>
            <family val="2"/>
          </rPr>
          <t xml:space="preserve">Elimination Entries to Financed Purchase Obligations </t>
        </r>
        <r>
          <rPr>
            <b/>
            <u/>
            <sz val="10"/>
            <color indexed="81"/>
            <rFont val="Arial"/>
            <family val="2"/>
          </rPr>
          <t>(GASBS Nos. 87 &amp; 94</t>
        </r>
        <r>
          <rPr>
            <b/>
            <sz val="10"/>
            <color indexed="81"/>
            <rFont val="Arial"/>
            <family val="2"/>
          </rPr>
          <t xml:space="preserve">) Due Within One Year:
</t>
        </r>
        <r>
          <rPr>
            <sz val="10"/>
            <color indexed="81"/>
            <rFont val="Arial"/>
            <family val="2"/>
          </rPr>
          <t>The Due Within One Year in Part 7 should agree to the FY2025 principal amount in Part 10.</t>
        </r>
        <r>
          <rPr>
            <sz val="9"/>
            <color indexed="81"/>
            <rFont val="Tahoma"/>
            <family val="2"/>
          </rPr>
          <t xml:space="preserve">
</t>
        </r>
      </text>
    </comment>
    <comment ref="B359" authorId="0" shapeId="0" xr:uid="{00000000-0006-0000-0D00-000017000000}">
      <text>
        <r>
          <rPr>
            <b/>
            <sz val="10"/>
            <color indexed="81"/>
            <rFont val="Arial"/>
            <family val="2"/>
          </rPr>
          <t>Eliminations to Total Future Principal Amounts:</t>
        </r>
        <r>
          <rPr>
            <sz val="10"/>
            <color indexed="81"/>
            <rFont val="Arial"/>
            <family val="2"/>
          </rPr>
          <t xml:space="preserve">
The total elimination entries for future principal payments for Financed Purchase Obligations </t>
        </r>
        <r>
          <rPr>
            <b/>
            <u/>
            <sz val="10"/>
            <color indexed="81"/>
            <rFont val="Arial"/>
            <family val="2"/>
          </rPr>
          <t>(GASBS Nos. 87 &amp; 94)</t>
        </r>
        <r>
          <rPr>
            <sz val="10"/>
            <color indexed="81"/>
            <rFont val="Arial"/>
            <family val="2"/>
          </rPr>
          <t xml:space="preserve"> must equal to total current and noncurrent Financed Purchase Obligations</t>
        </r>
        <r>
          <rPr>
            <b/>
            <sz val="10"/>
            <color indexed="81"/>
            <rFont val="Arial"/>
            <family val="2"/>
          </rPr>
          <t xml:space="preserve"> (</t>
        </r>
        <r>
          <rPr>
            <b/>
            <u/>
            <sz val="10"/>
            <color indexed="81"/>
            <rFont val="Arial"/>
            <family val="2"/>
          </rPr>
          <t>GASBS Nos. 87 &amp; 94)</t>
        </r>
        <r>
          <rPr>
            <sz val="10"/>
            <color indexed="81"/>
            <rFont val="Arial"/>
            <family val="2"/>
          </rPr>
          <t xml:space="preserve"> elimination entries reported on the Elimination Entries to FST tab.  If not, an "ERROR" message will appear.  Correct  amounts.</t>
        </r>
      </text>
    </comment>
    <comment ref="F367" authorId="3" shapeId="0" xr:uid="{5B2760D3-88A2-4C99-B25F-8C1CD69F0608}">
      <text>
        <r>
          <rPr>
            <b/>
            <sz val="10"/>
            <color indexed="81"/>
            <rFont val="Arial"/>
            <family val="2"/>
          </rPr>
          <t>Elimination Entries to Long-term Subscription-based Information Technology Arrangements Liabilities (</t>
        </r>
        <r>
          <rPr>
            <b/>
            <u/>
            <sz val="10"/>
            <color indexed="81"/>
            <rFont val="Arial"/>
            <family val="2"/>
          </rPr>
          <t>GASBS No. 96</t>
        </r>
        <r>
          <rPr>
            <b/>
            <sz val="10"/>
            <color indexed="81"/>
            <rFont val="Arial"/>
            <family val="2"/>
          </rPr>
          <t xml:space="preserve">) Due Within One Year:
</t>
        </r>
        <r>
          <rPr>
            <sz val="10"/>
            <color indexed="81"/>
            <rFont val="Arial"/>
            <family val="2"/>
          </rPr>
          <t>The Due Within One Year in Part 7 should agree to the FY2025 principal amount in Part 11.</t>
        </r>
        <r>
          <rPr>
            <sz val="9"/>
            <color indexed="81"/>
            <rFont val="Tahoma"/>
            <family val="2"/>
          </rPr>
          <t xml:space="preserve">
</t>
        </r>
      </text>
    </comment>
    <comment ref="O367" authorId="3" shapeId="0" xr:uid="{CCAE2D9F-0488-4752-B095-AB6EB4E60495}">
      <text>
        <r>
          <rPr>
            <b/>
            <sz val="9"/>
            <color indexed="81"/>
            <rFont val="Arial"/>
            <family val="2"/>
          </rPr>
          <t>Elimination Entries to Long-term Operator Installment Payment Liabilities (</t>
        </r>
        <r>
          <rPr>
            <b/>
            <u/>
            <sz val="9"/>
            <color indexed="81"/>
            <rFont val="Arial"/>
            <family val="2"/>
          </rPr>
          <t>GASBS No. 94</t>
        </r>
        <r>
          <rPr>
            <b/>
            <sz val="9"/>
            <color indexed="81"/>
            <rFont val="Arial"/>
            <family val="2"/>
          </rPr>
          <t xml:space="preserve">):
</t>
        </r>
        <r>
          <rPr>
            <sz val="9"/>
            <color indexed="81"/>
            <rFont val="Arial"/>
            <family val="2"/>
          </rPr>
          <t>The Due Within One Year in Part 7 should agree to the FY2025 principal amount in Part 11.1.</t>
        </r>
        <r>
          <rPr>
            <sz val="9"/>
            <color indexed="81"/>
            <rFont val="Tahoma"/>
            <family val="2"/>
          </rPr>
          <t xml:space="preserve">
</t>
        </r>
      </text>
    </comment>
    <comment ref="B381" authorId="0" shapeId="0" xr:uid="{A30F1313-E71C-4CA0-A97B-4AEBBF616119}">
      <text>
        <r>
          <rPr>
            <b/>
            <sz val="10"/>
            <color indexed="81"/>
            <rFont val="Arial"/>
            <family val="2"/>
          </rPr>
          <t>Eliminations to Total Future Principal Amounts:</t>
        </r>
        <r>
          <rPr>
            <sz val="10"/>
            <color indexed="81"/>
            <rFont val="Arial"/>
            <family val="2"/>
          </rPr>
          <t xml:space="preserve">
The total elimination entries for future principal payments for Long-term Subscription-based Information Technology Arrangements Liabilities </t>
        </r>
        <r>
          <rPr>
            <b/>
            <u/>
            <sz val="10"/>
            <color indexed="81"/>
            <rFont val="Arial"/>
            <family val="2"/>
          </rPr>
          <t>(GASBS No. 96)</t>
        </r>
        <r>
          <rPr>
            <sz val="10"/>
            <color indexed="81"/>
            <rFont val="Arial"/>
            <family val="2"/>
          </rPr>
          <t xml:space="preserve"> must equal to total current and noncurrent Long-term Subscription-based Information Technology Arrangements Liabilities </t>
        </r>
        <r>
          <rPr>
            <b/>
            <u/>
            <sz val="10"/>
            <color indexed="81"/>
            <rFont val="Arial"/>
            <family val="2"/>
          </rPr>
          <t>(GASBS No. 96)</t>
        </r>
        <r>
          <rPr>
            <sz val="10"/>
            <color indexed="81"/>
            <rFont val="Arial"/>
            <family val="2"/>
          </rPr>
          <t xml:space="preserve"> elimination entries reported on the Elimination Entries to FST tab.  If not, an "ERROR" message will appear.  Correct  amounts.</t>
        </r>
      </text>
    </comment>
    <comment ref="K381" authorId="0" shapeId="0" xr:uid="{39DA2AA3-CF33-4C1E-9133-8731EC1FFEAC}">
      <text>
        <r>
          <rPr>
            <b/>
            <sz val="10"/>
            <color indexed="81"/>
            <rFont val="Arial"/>
            <family val="2"/>
          </rPr>
          <t xml:space="preserve">Elimination Entries to Total Future Principal Amounts:
</t>
        </r>
        <r>
          <rPr>
            <sz val="10"/>
            <color indexed="81"/>
            <rFont val="Arial"/>
            <family val="2"/>
          </rPr>
          <t xml:space="preserve">The total elimination entries for future principal payments for Long-term Operator Installment Payment Liabilities </t>
        </r>
        <r>
          <rPr>
            <b/>
            <u/>
            <sz val="10"/>
            <color indexed="81"/>
            <rFont val="Arial"/>
            <family val="2"/>
          </rPr>
          <t>(GASBS No. 94)</t>
        </r>
        <r>
          <rPr>
            <sz val="10"/>
            <color indexed="81"/>
            <rFont val="Arial"/>
            <family val="2"/>
          </rPr>
          <t xml:space="preserve"> must equal to total current and noncurrent  Long-term Operator Installment Payment Liabilities </t>
        </r>
        <r>
          <rPr>
            <b/>
            <u/>
            <sz val="10"/>
            <color indexed="81"/>
            <rFont val="Arial"/>
            <family val="2"/>
          </rPr>
          <t>(GASBS No. 94)</t>
        </r>
        <r>
          <rPr>
            <sz val="10"/>
            <color indexed="81"/>
            <rFont val="Arial"/>
            <family val="2"/>
          </rPr>
          <t xml:space="preserve"> reported on the Elimination Entries to FST tab.  If not, an "ERROR" message will appear.  Correct  amounts</t>
        </r>
      </text>
    </comment>
    <comment ref="Q393" authorId="3" shapeId="0" xr:uid="{00000000-0006-0000-0D00-000018000000}">
      <text>
        <r>
          <rPr>
            <b/>
            <sz val="10"/>
            <color indexed="81"/>
            <rFont val="Arial"/>
            <family val="2"/>
          </rPr>
          <t>Elimination Entries to Total Bonds Payable (Institutional debt - Issued by the Institution) Due Within One Year:</t>
        </r>
        <r>
          <rPr>
            <sz val="10"/>
            <color indexed="81"/>
            <rFont val="Arial"/>
            <family val="2"/>
          </rPr>
          <t xml:space="preserve">
Due within one year in Part 7 should agree to the FY 2025 total principal amount in Part 12 except as follows:  If demand bonds and/or bonds that are callable because of a debt violation must be reported as a current liability in accordance with GASB Interpretation 1 and/or </t>
        </r>
        <r>
          <rPr>
            <b/>
            <u/>
            <sz val="10"/>
            <color indexed="81"/>
            <rFont val="Arial"/>
            <family val="2"/>
          </rPr>
          <t>GASBS No. 62</t>
        </r>
        <r>
          <rPr>
            <sz val="10"/>
            <color indexed="81"/>
            <rFont val="Arial"/>
            <family val="2"/>
          </rPr>
          <t>.</t>
        </r>
      </text>
    </comment>
    <comment ref="B411" authorId="0" shapeId="0" xr:uid="{00000000-0006-0000-0D00-000019000000}">
      <text>
        <r>
          <rPr>
            <b/>
            <sz val="10"/>
            <color indexed="81"/>
            <rFont val="Arial"/>
            <family val="2"/>
          </rPr>
          <t>Elimination Entries to Total Bonds Payable Principal Amount (Issued by Institution-Institutional debt):</t>
        </r>
        <r>
          <rPr>
            <sz val="10"/>
            <color indexed="81"/>
            <rFont val="Arial"/>
            <family val="2"/>
          </rPr>
          <t xml:space="preserve">
The total elimination entries to the  bonds payable principal amount must agree to the amount reported in Part 7 of this tab.  If not, an "ERROR" message will appear.  Correct amounts.</t>
        </r>
        <r>
          <rPr>
            <sz val="8"/>
            <color indexed="81"/>
            <rFont val="Tahoma"/>
            <family val="2"/>
          </rPr>
          <t xml:space="preserve">
 </t>
        </r>
      </text>
    </comment>
    <comment ref="I411" authorId="0" shapeId="0" xr:uid="{00000000-0006-0000-0D00-00001A000000}">
      <text>
        <r>
          <rPr>
            <b/>
            <sz val="10"/>
            <color indexed="81"/>
            <rFont val="Arial"/>
            <family val="2"/>
          </rPr>
          <t>Elimination Entries to Total Bonds Payable Principal Amount (Issued by Institution-Institutional debt):</t>
        </r>
        <r>
          <rPr>
            <sz val="10"/>
            <color indexed="81"/>
            <rFont val="Arial"/>
            <family val="2"/>
          </rPr>
          <t xml:space="preserve">
The total bonds payable principal amount must agree to the amount reported in Part 7 of this tab.  If not, an "ERROR" message will appear.  Correct amounts.</t>
        </r>
        <r>
          <rPr>
            <sz val="8"/>
            <color indexed="81"/>
            <rFont val="Tahoma"/>
            <family val="2"/>
          </rPr>
          <t xml:space="preserve">
 </t>
        </r>
      </text>
    </comment>
    <comment ref="M411" authorId="0" shapeId="0" xr:uid="{00000000-0006-0000-0D00-00001B000000}">
      <text>
        <r>
          <rPr>
            <b/>
            <sz val="10"/>
            <color indexed="81"/>
            <rFont val="Arial"/>
            <family val="2"/>
          </rPr>
          <t>Elimination Entries to Total Bonds Payable Principal Amount (Issued by Institution-Institutional debt):</t>
        </r>
        <r>
          <rPr>
            <sz val="10"/>
            <color indexed="81"/>
            <rFont val="Arial"/>
            <family val="2"/>
          </rPr>
          <t xml:space="preserve">
The total bonds payable principal amount must agree to the amount reported in Part 7 of this tab.  If not, an "ERROR" message will appear.  Correct amounts.</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B92" authorId="0" shapeId="0" xr:uid="{00000000-0006-0000-0F00-000001000000}">
      <text>
        <r>
          <rPr>
            <sz val="9"/>
            <color indexed="81"/>
            <rFont val="Arial"/>
            <family val="2"/>
          </rPr>
          <t>If the total does not agree to the HEI amount reported on the FST, an "Error" message will appear.  Make corrections as deemed necessary.</t>
        </r>
        <r>
          <rPr>
            <b/>
            <sz val="9"/>
            <color indexed="81"/>
            <rFont val="Arial"/>
            <family val="2"/>
          </rPr>
          <t xml:space="preserve">
</t>
        </r>
      </text>
    </comment>
    <comment ref="B115" authorId="0" shapeId="0" xr:uid="{00000000-0006-0000-0F00-000002000000}">
      <text>
        <r>
          <rPr>
            <sz val="9"/>
            <color indexed="81"/>
            <rFont val="Arial"/>
            <family val="2"/>
          </rPr>
          <t>If the total does not agree to the HEI amount reported on the FST, an "Error" message will appear.  Make corrections as deemed necessary.</t>
        </r>
        <r>
          <rPr>
            <b/>
            <sz val="8"/>
            <color indexed="81"/>
            <rFont val="Tahoma"/>
            <family val="2"/>
          </rPr>
          <t xml:space="preserve">
</t>
        </r>
      </text>
    </comment>
    <comment ref="B137" authorId="0" shapeId="0" xr:uid="{00000000-0006-0000-0F00-000003000000}">
      <text>
        <r>
          <rPr>
            <sz val="9"/>
            <color indexed="81"/>
            <rFont val="Arial"/>
            <family val="2"/>
          </rPr>
          <t>If the total does not agree to the HEI amount reported on the FST, an "Error" message will appear.  Make corrections as deemed necessary.</t>
        </r>
        <r>
          <rPr>
            <b/>
            <sz val="9"/>
            <color indexed="81"/>
            <rFont val="Arial"/>
            <family val="2"/>
          </rPr>
          <t xml:space="preserve">
</t>
        </r>
      </text>
    </comment>
    <comment ref="B160" authorId="0" shapeId="0" xr:uid="{00000000-0006-0000-0F00-000004000000}">
      <text>
        <r>
          <rPr>
            <sz val="9"/>
            <color indexed="81"/>
            <rFont val="Arial"/>
            <family val="2"/>
          </rPr>
          <t>If the total does not agree to the HEI amount reported on the FST, an "Error" message will appear.  Make corrections as deemed necessary.</t>
        </r>
        <r>
          <rPr>
            <b/>
            <sz val="8"/>
            <color indexed="81"/>
            <rFont val="Tahoma"/>
            <family val="2"/>
          </rPr>
          <t xml:space="preserve">
</t>
        </r>
      </text>
    </comment>
    <comment ref="O333" authorId="0" shapeId="0" xr:uid="{00000000-0006-0000-0F00-000005000000}">
      <text>
        <r>
          <rPr>
            <sz val="9"/>
            <color indexed="81"/>
            <rFont val="Tahoma"/>
            <family val="2"/>
          </rPr>
          <t>Note A:  If there is a difference, recheck amounts reported on TAB 5 Part 1b because there should be no difference.  Make corrections if needed.</t>
        </r>
      </text>
    </comment>
    <comment ref="O363" authorId="0" shapeId="0" xr:uid="{00000000-0006-0000-0F00-000006000000}">
      <text>
        <r>
          <rPr>
            <sz val="9"/>
            <color indexed="81"/>
            <rFont val="Tahoma"/>
            <family val="2"/>
          </rPr>
          <t>Note A:  If there is a difference, recheck amounts reported on TAB 5 Part 1b because there should be no difference.  Make corrections if needed.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Christy Tuck</author>
    <author>Kevin L. Salminen</author>
  </authors>
  <commentList>
    <comment ref="C15" authorId="0" shapeId="0" xr:uid="{00000000-0006-0000-1100-000001000000}">
      <text>
        <r>
          <rPr>
            <b/>
            <sz val="9"/>
            <color indexed="81"/>
            <rFont val="Arial"/>
            <family val="2"/>
          </rPr>
          <t xml:space="preserve">
Total Capital Assets for HEI:  </t>
        </r>
        <r>
          <rPr>
            <sz val="9"/>
            <color indexed="81"/>
            <rFont val="Arial"/>
            <family val="2"/>
          </rPr>
          <t xml:space="preserve">
This is the sum of Nondepreciable Capital Assets and Other Capital Assets, Net on the FST tab in the HEI column including intangible assets as required by </t>
        </r>
        <r>
          <rPr>
            <b/>
            <u/>
            <sz val="9"/>
            <color indexed="81"/>
            <rFont val="Arial"/>
            <family val="2"/>
          </rPr>
          <t>GASBS No. 51</t>
        </r>
        <r>
          <rPr>
            <sz val="9"/>
            <color indexed="81"/>
            <rFont val="Arial"/>
            <family val="2"/>
          </rPr>
          <t xml:space="preserve"> and right-to-use intangible assets required by </t>
        </r>
        <r>
          <rPr>
            <b/>
            <u/>
            <sz val="9"/>
            <color indexed="81"/>
            <rFont val="Arial"/>
            <family val="2"/>
          </rPr>
          <t>GASBS No. 87</t>
        </r>
        <r>
          <rPr>
            <sz val="9"/>
            <color indexed="81"/>
            <rFont val="Arial"/>
            <family val="2"/>
          </rPr>
          <t xml:space="preserve">, </t>
        </r>
        <r>
          <rPr>
            <b/>
            <u/>
            <sz val="9"/>
            <color indexed="81"/>
            <rFont val="Arial"/>
            <family val="2"/>
          </rPr>
          <t>GASBS No. 94</t>
        </r>
        <r>
          <rPr>
            <sz val="9"/>
            <color indexed="81"/>
            <rFont val="Arial"/>
            <family val="2"/>
          </rPr>
          <t xml:space="preserve">, and </t>
        </r>
        <r>
          <rPr>
            <b/>
            <u/>
            <sz val="9"/>
            <color indexed="81"/>
            <rFont val="Arial"/>
            <family val="2"/>
          </rPr>
          <t>GASBS No. 96</t>
        </r>
        <r>
          <rPr>
            <sz val="9"/>
            <color indexed="81"/>
            <rFont val="Arial"/>
            <family val="2"/>
          </rPr>
          <t>.</t>
        </r>
      </text>
    </comment>
    <comment ref="C45" authorId="1" shapeId="0" xr:uid="{00000000-0006-0000-1100-000002000000}">
      <text>
        <r>
          <rPr>
            <b/>
            <sz val="9"/>
            <color indexed="81"/>
            <rFont val="Arial"/>
            <family val="2"/>
          </rPr>
          <t xml:space="preserve">Net investment in capital assets </t>
        </r>
        <r>
          <rPr>
            <sz val="9"/>
            <color indexed="81"/>
            <rFont val="Arial"/>
            <family val="2"/>
          </rPr>
          <t>must agree to the amount reported on the "Net Investment in Capital Assets" line item on the FST.  If not, an "ERROR" message will appear.  Make corrections as deemed necessary.</t>
        </r>
        <r>
          <rPr>
            <sz val="11"/>
            <color indexed="81"/>
            <rFont val="Arial"/>
            <family val="2"/>
          </rPr>
          <t xml:space="preserve">
</t>
        </r>
      </text>
    </comment>
    <comment ref="D45" authorId="0" shapeId="0" xr:uid="{00000000-0006-0000-1100-000003000000}">
      <text>
        <r>
          <rPr>
            <b/>
            <sz val="9"/>
            <color indexed="81"/>
            <rFont val="Arial"/>
            <family val="2"/>
          </rPr>
          <t xml:space="preserve">Net investment in capital assets </t>
        </r>
        <r>
          <rPr>
            <sz val="9"/>
            <color indexed="81"/>
            <rFont val="Arial"/>
            <family val="2"/>
          </rPr>
          <t>must agree to the amount reported on the "Net Investment in Capital Assets" line item on the Elimination Entries to FST tab for the HEI's elimination entries column.  If not, an "ERROR" message will appear.  Make corrections as deemed necessary.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B19" authorId="0" shapeId="0" xr:uid="{00000000-0006-0000-1300-000001000000}">
      <text>
        <r>
          <rPr>
            <sz val="9"/>
            <color indexed="81"/>
            <rFont val="Arial"/>
            <family val="2"/>
          </rPr>
          <t xml:space="preserve">LGIP amounts should be reported on the applicable cash &amp; cash equivalents or restricted cash &amp; cash equivalents line items.
</t>
        </r>
      </text>
    </comment>
    <comment ref="B39" authorId="0" shapeId="0" xr:uid="{00000000-0006-0000-1300-000002000000}">
      <text>
        <r>
          <rPr>
            <sz val="9"/>
            <color indexed="81"/>
            <rFont val="Arial"/>
            <family val="2"/>
          </rPr>
          <t xml:space="preserve">LGIP EM amounts should be reported on the applicable investments or restricted investment line items.
</t>
        </r>
      </text>
    </comment>
    <comment ref="B58" authorId="0" shapeId="0" xr:uid="{00000000-0006-0000-1300-000003000000}">
      <text>
        <r>
          <rPr>
            <sz val="9"/>
            <color indexed="81"/>
            <rFont val="Arial"/>
            <family val="2"/>
          </rPr>
          <t>Since SNAP amounts represent unspent bond proceeds, they should be reported on the applicable restricted cash  &amp; cash equivalents and/or restricted investment line items.</t>
        </r>
        <r>
          <rPr>
            <b/>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P18" authorId="0" shapeId="0" xr:uid="{00000000-0006-0000-1700-000001000000}">
      <text>
        <r>
          <rPr>
            <b/>
            <sz val="9"/>
            <color indexed="81"/>
            <rFont val="Arial"/>
            <family val="2"/>
          </rPr>
          <t xml:space="preserve">Note A1:  Subtotal and Elimination Entries on the Combining FST tab - Notes Payable -Due Within One Year:  </t>
        </r>
        <r>
          <rPr>
            <sz val="9"/>
            <color indexed="81"/>
            <rFont val="Arial"/>
            <family val="2"/>
          </rPr>
          <t xml:space="preserve">Due within one year in the applicable column on the Combining FST tab should agree to the first year principal amount in Part 1. 
</t>
        </r>
        <r>
          <rPr>
            <b/>
            <sz val="9"/>
            <color indexed="81"/>
            <rFont val="Arial"/>
            <family val="2"/>
          </rPr>
          <t xml:space="preserve">
Note B1: Elimination Entries on the Elimination Entries to FST tab - Notes Payable - Due Within One Year:   </t>
        </r>
        <r>
          <rPr>
            <sz val="9"/>
            <color indexed="81"/>
            <rFont val="Arial"/>
            <family val="2"/>
          </rPr>
          <t>Due within one year in the foundation(s) column on the Elimination Entries to FST tab  should agree to the first year principal amount in Part 1.</t>
        </r>
      </text>
    </comment>
    <comment ref="P39" authorId="0" shapeId="0" xr:uid="{00000000-0006-0000-1700-000002000000}">
      <text>
        <r>
          <rPr>
            <b/>
            <sz val="9"/>
            <color indexed="81"/>
            <rFont val="Arial"/>
            <family val="2"/>
          </rPr>
          <t xml:space="preserve">Note D1:  Subtotal and Elimination Entries on the Combining FST tab - Bonds Payable -Due Within One Year:  </t>
        </r>
        <r>
          <rPr>
            <sz val="9"/>
            <color indexed="81"/>
            <rFont val="Arial"/>
            <family val="2"/>
          </rPr>
          <t xml:space="preserve">Due within one year in the applicable column on the Combining FST tab should agree to the first year principal amount in Part 2 except as noted below. </t>
        </r>
        <r>
          <rPr>
            <b/>
            <sz val="9"/>
            <color indexed="81"/>
            <rFont val="Arial"/>
            <family val="2"/>
          </rPr>
          <t xml:space="preserve">
Note E1: Elimination Entries on the Elimination Entries to FST tab - Bonds Payable - Due Within One Year:  </t>
        </r>
        <r>
          <rPr>
            <sz val="9"/>
            <color indexed="81"/>
            <rFont val="Arial"/>
            <family val="2"/>
          </rPr>
          <t xml:space="preserve"> Due within one year in the foundation(s) column on the Elimination Entries to FST tab  should agree to the first year principal amount in Part 2 except as noted below.
Exception:  If demand bonds and/or bonds that are callable because of a debt violation must be reported as a current liability in accordance with FASB standards.</t>
        </r>
        <r>
          <rPr>
            <b/>
            <sz val="9"/>
            <color indexed="81"/>
            <rFont val="Tahoma"/>
            <family val="2"/>
          </rPr>
          <t xml:space="preserve">
</t>
        </r>
      </text>
    </comment>
    <comment ref="P100" authorId="0" shapeId="0" xr:uid="{00000000-0006-0000-1700-000003000000}">
      <text>
        <r>
          <rPr>
            <b/>
            <sz val="9"/>
            <color indexed="81"/>
            <rFont val="Arial"/>
            <family val="2"/>
          </rPr>
          <t xml:space="preserve">Note G1:  Subtotal and Elimination Entries on the Combining FST tab - Installment Purchase Obligations -Due Within One Year:  </t>
        </r>
        <r>
          <rPr>
            <sz val="9"/>
            <color indexed="81"/>
            <rFont val="Arial"/>
            <family val="2"/>
          </rPr>
          <t xml:space="preserve">Due within one year in the applicable column on the Combining FST tab should agree to the first year principal amount in Part 3. 
</t>
        </r>
        <r>
          <rPr>
            <b/>
            <sz val="9"/>
            <color indexed="81"/>
            <rFont val="Arial"/>
            <family val="2"/>
          </rPr>
          <t xml:space="preserve">
Note H1: Elimination Entries on the Elimination Entries to FST tab - Installment Purchase Obligations - Due Within One Year:   </t>
        </r>
        <r>
          <rPr>
            <sz val="9"/>
            <color indexed="81"/>
            <rFont val="Arial"/>
            <family val="2"/>
          </rPr>
          <t>Due within one year in the foundation(s) column on the Elimination Entries to FST tab  should agree to the first year principal amount in Part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AA1" authorId="0" shapeId="0" xr:uid="{00000000-0006-0000-0300-000001000000}">
      <text>
        <r>
          <rPr>
            <sz val="9"/>
            <color indexed="81"/>
            <rFont val="Arial"/>
            <family val="2"/>
          </rPr>
          <t xml:space="preserve">Note:    This excludes Central AJES and  only includes corrections that increased  or decreased the prior year's ending balances in Att. HE-10 TAB 5 Part 1
</t>
        </r>
      </text>
    </comment>
    <comment ref="A28" authorId="0" shapeId="0" xr:uid="{00000000-0006-0000-0300-000002000000}">
      <text>
        <r>
          <rPr>
            <sz val="9"/>
            <color indexed="81"/>
            <rFont val="Tahoma"/>
            <family val="2"/>
          </rPr>
          <t xml:space="preserve">Only link the Other Liabilities subtotal rather than each individual line item within the Other Liabilities category,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 Page</author>
    <author>Christy Tuck</author>
    <author>VITA Program</author>
  </authors>
  <commentList>
    <comment ref="E1" authorId="0" shapeId="0" xr:uid="{00000000-0006-0000-0400-000001000000}">
      <text>
        <r>
          <rPr>
            <sz val="9"/>
            <color indexed="81"/>
            <rFont val="Tahoma"/>
            <family val="2"/>
          </rPr>
          <t>Use the drop-down list to select the applicable Institution Number-Institution Acronym for this submission and the Institution Name will automatically populate.
Note: VCUHSA should select 236-VCUHSA.</t>
        </r>
      </text>
    </comment>
    <comment ref="K23" authorId="1" shapeId="0" xr:uid="{00000000-0006-0000-0400-000002000000}">
      <text>
        <r>
          <rPr>
            <b/>
            <sz val="9"/>
            <color indexed="81"/>
            <rFont val="Arial"/>
            <family val="2"/>
          </rPr>
          <t>Note D:</t>
        </r>
        <r>
          <rPr>
            <sz val="9"/>
            <color indexed="81"/>
            <rFont val="Arial"/>
            <family val="2"/>
          </rPr>
          <t xml:space="preserve">  After selecting the Institution Number-Institution Acronym above, the prior year amounts will appear and the #N/As will go away.   The following fluctuations must be explained:
Increases or decreases greater than 10% and $9.9 million or 
Increases or decreases greater than $19.8 million (regardless of percentage change)
Explanations can be provided on the following tabs:   HEI Flux and Foundation Flux
</t>
        </r>
      </text>
    </comment>
    <comment ref="G39" authorId="2" shapeId="0" xr:uid="{00000000-0006-0000-0400-000003000000}">
      <text>
        <r>
          <rPr>
            <sz val="9"/>
            <color indexed="81"/>
            <rFont val="Arial"/>
            <family val="2"/>
          </rPr>
          <t>Include LGIP EM</t>
        </r>
      </text>
    </comment>
    <comment ref="U59" authorId="1" shapeId="0" xr:uid="{00000000-0006-0000-0400-000004000000}">
      <text>
        <r>
          <rPr>
            <sz val="9"/>
            <color indexed="81"/>
            <rFont val="Arial"/>
            <family val="2"/>
          </rPr>
          <t>The Combined Total column for these line items should be zero.</t>
        </r>
      </text>
    </comment>
    <comment ref="G87" authorId="2" shapeId="0" xr:uid="{00000000-0006-0000-0400-000005000000}">
      <text>
        <r>
          <rPr>
            <sz val="9"/>
            <color indexed="81"/>
            <rFont val="Arial"/>
            <family val="2"/>
          </rPr>
          <t>Include Restricted LGIP EM</t>
        </r>
      </text>
    </comment>
    <comment ref="U138" authorId="1" shapeId="0" xr:uid="{00000000-0006-0000-0400-000006000000}">
      <text>
        <r>
          <rPr>
            <sz val="9"/>
            <color indexed="81"/>
            <rFont val="Arial"/>
            <family val="2"/>
          </rPr>
          <t>The Combined Total column for these line items should be zero.</t>
        </r>
      </text>
    </comment>
    <comment ref="U270" authorId="1" shapeId="0" xr:uid="{00000000-0006-0000-0400-000007000000}">
      <text>
        <r>
          <rPr>
            <sz val="9"/>
            <color indexed="81"/>
            <rFont val="Arial"/>
            <family val="2"/>
          </rPr>
          <t>The Combined Total column for these line items should be zero.</t>
        </r>
      </text>
    </comment>
    <comment ref="G292" authorId="1" shapeId="0" xr:uid="{3501C53A-446A-40EC-A06A-4C4B54642867}">
      <text>
        <r>
          <rPr>
            <sz val="9"/>
            <color indexed="81"/>
            <rFont val="Tahoma"/>
            <family val="2"/>
          </rPr>
          <t>This total includes the amounts reported for all receivables, restricted receivables, loans receivable, and due from line items for the HEI.  If this total does not agree to the total net receivables amount reported in the DOA's A/R System, Supplemental item 7a, Receivable Reconciliation, must be submitted along with the Attachment HE-10 to explain differences.</t>
        </r>
        <r>
          <rPr>
            <sz val="9"/>
            <color indexed="81"/>
            <rFont val="Tahoma"/>
            <family val="2"/>
          </rPr>
          <t xml:space="preserve">
</t>
        </r>
      </text>
    </comment>
    <comment ref="G314" authorId="1" shapeId="0" xr:uid="{00000000-0006-0000-0400-000008000000}">
      <text>
        <r>
          <rPr>
            <sz val="9"/>
            <color indexed="81"/>
            <rFont val="Arial"/>
            <family val="2"/>
          </rPr>
          <t>Note E:  For FY 2024, amounts reported by the HEIs for "Payments to Treas. Bd. - VCBA 21st Cent. &amp; Eqt. Pgms." are expected to be reported in the Annual Comprehensive Financial Report as "Expenses" rather than a reduction to the ACFR's "Operating Appropriations from Primary Government" line item.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J1" authorId="0" shapeId="0" xr:uid="{00000000-0006-0000-0500-000001000000}">
      <text>
        <r>
          <rPr>
            <b/>
            <sz val="9"/>
            <color indexed="81"/>
            <rFont val="Tahoma"/>
            <family val="2"/>
          </rPr>
          <t xml:space="preserve">FASB Lease Requirements:   </t>
        </r>
        <r>
          <rPr>
            <sz val="9"/>
            <color indexed="81"/>
            <rFont val="Tahoma"/>
            <family val="2"/>
          </rPr>
          <t xml:space="preserve">If a foundation is the lessee, record Operating Lease Liabilities and Finance Lease Liabilities on the Combining FST's Long-Term Liabilities-Other-due within one year for the current portion and the Long-Term Liabilities-Other-due in More than One Year for the noncurrent portion.   Report the Finance Lease Right-of-Use Assets and the Operating Lease Right-of-Use-Assets on the applicable Combining FST's Capital Asset and/or Other Assets line items.  </t>
        </r>
      </text>
    </comment>
    <comment ref="P163" authorId="0" shapeId="0" xr:uid="{00000000-0006-0000-0500-000002000000}">
      <text>
        <r>
          <rPr>
            <sz val="9"/>
            <color indexed="81"/>
            <rFont val="Arial"/>
            <family val="2"/>
          </rPr>
          <t xml:space="preserve">Generally, after all amounts have been entered in the "Elimination Entries" column, the impact on the Net position - ending amount should be zero.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VITA Program</author>
    <author>Christy Tuck</author>
  </authors>
  <commentList>
    <comment ref="H39" authorId="0" shapeId="0" xr:uid="{00000000-0006-0000-0600-000001000000}">
      <text>
        <r>
          <rPr>
            <sz val="9"/>
            <color indexed="81"/>
            <rFont val="Arial"/>
            <family val="2"/>
          </rPr>
          <t xml:space="preserve">For HEI: Include LGIP EM eliminations, if any
</t>
        </r>
      </text>
    </comment>
    <comment ref="H87" authorId="0" shapeId="0" xr:uid="{00000000-0006-0000-0600-000002000000}">
      <text>
        <r>
          <rPr>
            <sz val="9"/>
            <color indexed="81"/>
            <rFont val="Arial"/>
            <family val="2"/>
          </rPr>
          <t>For HEI:  Include Restricted LGIP EM eliminations, if any</t>
        </r>
        <r>
          <rPr>
            <sz val="9"/>
            <color indexed="81"/>
            <rFont val="Tahoma"/>
            <family val="2"/>
          </rPr>
          <t xml:space="preserve">
</t>
        </r>
      </text>
    </comment>
    <comment ref="J226" authorId="1" shapeId="0" xr:uid="{00000000-0006-0000-0600-000003000000}">
      <text>
        <r>
          <rPr>
            <b/>
            <sz val="9"/>
            <color indexed="81"/>
            <rFont val="Arial"/>
            <family val="2"/>
          </rPr>
          <t>For the Elimination Entries to FST - Combined Total:</t>
        </r>
        <r>
          <rPr>
            <sz val="9"/>
            <color indexed="81"/>
            <rFont val="Arial"/>
            <family val="2"/>
          </rPr>
          <t xml:space="preserve">  If Total Assets &amp; Deferred Outflows less Total Liabilities &amp; Deferred Inflows do not equal Total Net Position, an "Error" message will appear.  Make corrections.</t>
        </r>
      </text>
    </comment>
    <comment ref="J284" authorId="1" shapeId="0" xr:uid="{00000000-0006-0000-0600-000004000000}">
      <text>
        <r>
          <rPr>
            <b/>
            <sz val="9"/>
            <color indexed="81"/>
            <rFont val="Arial"/>
            <family val="2"/>
          </rPr>
          <t>For the Elimination Entries to FST - Combined Total</t>
        </r>
        <r>
          <rPr>
            <sz val="9"/>
            <color indexed="81"/>
            <rFont val="Arial"/>
            <family val="2"/>
          </rPr>
          <t>:  If Net position-ending does not equal the Total Net Position per the Statement of Net Position, an "ERROR" message will appear.  Make corrections.   Generally,  after all amounts have been entered, the impact on net position - ending should be zero.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E15" authorId="0" shapeId="0" xr:uid="{00000000-0006-0000-0700-000001000000}">
      <text>
        <r>
          <rPr>
            <sz val="8"/>
            <color indexed="81"/>
            <rFont val="Arial"/>
            <family val="2"/>
          </rPr>
          <t xml:space="preserve">Note A:  These columns are linked to the applicable cells in columns L to N on the FST tab.  After selecting the Institution Number-Institution Acronym on the FST tab, the #NAs will disappear.  </t>
        </r>
        <r>
          <rPr>
            <b/>
            <u/>
            <sz val="8"/>
            <color indexed="81"/>
            <rFont val="Arial"/>
            <family val="2"/>
          </rPr>
          <t>After recording the current year amounts</t>
        </r>
        <r>
          <rPr>
            <sz val="8"/>
            <color indexed="81"/>
            <rFont val="Arial"/>
            <family val="2"/>
          </rPr>
          <t xml:space="preserve"> on the FST tab, use the filter function to left click on the downward arrow and then left click on "Select All" and then left click on "yes".   Only the FST line items that require an explanation will appear.</t>
        </r>
      </text>
    </comment>
    <comment ref="F15" authorId="0" shapeId="0" xr:uid="{00000000-0006-0000-0700-000002000000}">
      <text>
        <r>
          <rPr>
            <sz val="8"/>
            <color indexed="81"/>
            <rFont val="Arial"/>
            <family val="2"/>
          </rPr>
          <t xml:space="preserve">Note B:  If there is not enough space for the explanation, provide explanations in a separate document.   The document should include the FST line item, $ fluctuation, % fluctuation, and the explanation.  The cells below are formatted so the row height should automatically increase if needed.
</t>
        </r>
        <r>
          <rPr>
            <u/>
            <sz val="8"/>
            <color indexed="81"/>
            <rFont val="Arial"/>
            <family val="2"/>
          </rPr>
          <t>Avoid using acronyms</t>
        </r>
        <r>
          <rPr>
            <sz val="8"/>
            <color indexed="81"/>
            <rFont val="Arial"/>
            <family val="2"/>
          </rPr>
          <t xml:space="preserve"> in the explanations unless it is clearly evident what they represent.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E15" authorId="0" shapeId="0" xr:uid="{00000000-0006-0000-0800-000001000000}">
      <text>
        <r>
          <rPr>
            <sz val="8"/>
            <color indexed="81"/>
            <rFont val="Arial"/>
            <family val="2"/>
          </rPr>
          <t xml:space="preserve">Note A:  These columns are linked to the applicable cells in columns Q to S on the FST tab.  After selecting the Institution Number-Institution Acronym on the FST tab, the #NAs will disappear.  </t>
        </r>
        <r>
          <rPr>
            <b/>
            <u/>
            <sz val="8"/>
            <color indexed="81"/>
            <rFont val="Arial"/>
            <family val="2"/>
          </rPr>
          <t>After recording the current year amounts on the Combining FST tab</t>
        </r>
        <r>
          <rPr>
            <sz val="8"/>
            <color indexed="81"/>
            <rFont val="Arial"/>
            <family val="2"/>
          </rPr>
          <t xml:space="preserve">, use the filter function to left click on the downward arrow and then left click on "Select All" and then left click on "yes".   Only the FST line items that require an explanation will appear. </t>
        </r>
      </text>
    </comment>
    <comment ref="F15" authorId="0" shapeId="0" xr:uid="{00000000-0006-0000-0800-000002000000}">
      <text>
        <r>
          <rPr>
            <sz val="8"/>
            <color indexed="81"/>
            <rFont val="Arial"/>
            <family val="2"/>
          </rPr>
          <t xml:space="preserve">Note B:  If there is not enough space for the explanation, provide explanations in a separate document.   The document should include the FST line item, $ fluctuation, % fluctuation, and the explanation.   The cells below are formatted so the row height should automatically increase if needed.
</t>
        </r>
        <r>
          <rPr>
            <u/>
            <sz val="8"/>
            <color indexed="81"/>
            <rFont val="Arial"/>
            <family val="2"/>
          </rPr>
          <t>Avoid using acronyms</t>
        </r>
        <r>
          <rPr>
            <sz val="8"/>
            <color indexed="81"/>
            <rFont val="Arial"/>
            <family val="2"/>
          </rPr>
          <t xml:space="preserve"> in the explanations unless it is clearly evident what they represent.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Mary Christine Tuck</author>
  </authors>
  <commentList>
    <comment ref="G61" authorId="0" shapeId="0" xr:uid="{00000000-0006-0000-0A00-000001000000}">
      <text>
        <r>
          <rPr>
            <sz val="9"/>
            <color indexed="81"/>
            <rFont val="Arial"/>
            <family val="2"/>
          </rPr>
          <t xml:space="preserve">If total does not agree with the amount reported on the financial statement template (FST), an "ERROR" message will appear.  Make corrections.
</t>
        </r>
      </text>
    </comment>
    <comment ref="G68" authorId="0" shapeId="0" xr:uid="{00000000-0006-0000-0A00-000002000000}">
      <text>
        <r>
          <rPr>
            <sz val="9"/>
            <color indexed="81"/>
            <rFont val="Arial"/>
            <family val="2"/>
          </rPr>
          <t>If total does not agree with the amount reported on the FST, an "ERROR" message will appear.  Make corrections.</t>
        </r>
      </text>
    </comment>
    <comment ref="G75" authorId="0" shapeId="0" xr:uid="{00000000-0006-0000-0A00-000003000000}">
      <text>
        <r>
          <rPr>
            <sz val="9"/>
            <color indexed="81"/>
            <rFont val="Arial"/>
            <family val="2"/>
          </rPr>
          <t>If total does not agree with the amount reported on the FST, an "ERROR" message will appear.  Make  corrections.</t>
        </r>
      </text>
    </comment>
    <comment ref="G82" authorId="0" shapeId="0" xr:uid="{00000000-0006-0000-0A00-000004000000}">
      <text>
        <r>
          <rPr>
            <sz val="9"/>
            <color indexed="81"/>
            <rFont val="Arial"/>
            <family val="2"/>
          </rPr>
          <t>If total does not agree with the amount reported on the FST, an "ERROR" message will appear.  Make corrections.</t>
        </r>
      </text>
    </comment>
    <comment ref="G113" authorId="0" shapeId="0" xr:uid="{00000000-0006-0000-0A00-000005000000}">
      <text>
        <r>
          <rPr>
            <sz val="9"/>
            <color indexed="81"/>
            <rFont val="Arial"/>
            <family val="2"/>
          </rPr>
          <t>If total does not agree with the amount reported  on the Local Government Investment Pool FST line item, an "ERROR" message will appear.  Make corrections.</t>
        </r>
      </text>
    </comment>
    <comment ref="J113" authorId="0" shapeId="0" xr:uid="{00000000-0006-0000-0A00-000006000000}">
      <text>
        <r>
          <rPr>
            <sz val="9"/>
            <color indexed="81"/>
            <rFont val="Arial"/>
            <family val="2"/>
          </rPr>
          <t>LGIP EM amounts should be reported on the Investments with Treasurer of VA (excludes SNAP) FST line item.  If total does not agree with the amount reported  in Part 4c above for the LGIP EM amount,  an "ERROR" message will appear.  Make corrections.</t>
        </r>
      </text>
    </comment>
    <comment ref="G143" authorId="0" shapeId="0" xr:uid="{00000000-0006-0000-0A00-000007000000}">
      <text>
        <r>
          <rPr>
            <sz val="10"/>
            <color indexed="81"/>
            <rFont val="Arial"/>
            <family val="2"/>
          </rPr>
          <t>If total does not agree with the amount reported  on the Restricted Local Government Investment Pool FST line item, an "ERROR" message will appear.  Make corrections</t>
        </r>
      </text>
    </comment>
    <comment ref="J143" authorId="0" shapeId="0" xr:uid="{00000000-0006-0000-0A00-000008000000}">
      <text>
        <r>
          <rPr>
            <sz val="10"/>
            <color indexed="81"/>
            <rFont val="Arial"/>
            <family val="2"/>
          </rPr>
          <t>Restricted LGIP EM amounts should be reported on the Restricted Investments with Treasurer of VA (excludes SNAP) FST line item.  If total does not agree with the Restricted LGIP EM amount reported in Part 4d above,  an "ERROR" message will appear.  Make corrections.</t>
        </r>
      </text>
    </comment>
    <comment ref="G174" authorId="0" shapeId="0" xr:uid="{00000000-0006-0000-0A00-000009000000}">
      <text>
        <r>
          <rPr>
            <sz val="10"/>
            <color indexed="81"/>
            <rFont val="Arial"/>
            <family val="2"/>
          </rPr>
          <t>If total does not agree with the amount reported  on the FST, an "ERROR" message will appear.  Make corrections.</t>
        </r>
      </text>
    </comment>
    <comment ref="G205" authorId="0" shapeId="0" xr:uid="{00000000-0006-0000-0A00-00000A000000}">
      <text>
        <r>
          <rPr>
            <sz val="10"/>
            <color indexed="81"/>
            <rFont val="Arial"/>
            <family val="2"/>
          </rPr>
          <t>If total does not agree with the summation of the Restricted SNAP Individual Portfolio amounts reported on the FST,  an "ERROR" message will appear.  Make corrections.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Brittany Tucker</author>
    <author>Mary Christine Tuck</author>
  </authors>
  <commentList>
    <comment ref="A7" authorId="0" shapeId="0" xr:uid="{949BCA65-E013-48CC-93DD-E010CD7B4F56}">
      <text>
        <r>
          <rPr>
            <b/>
            <sz val="9"/>
            <color indexed="81"/>
            <rFont val="Tahoma"/>
            <family val="2"/>
          </rPr>
          <t>Note A:</t>
        </r>
        <r>
          <rPr>
            <sz val="9"/>
            <color indexed="81"/>
            <rFont val="Tahoma"/>
            <family val="2"/>
          </rPr>
          <t xml:space="preserve"> If</t>
        </r>
        <r>
          <rPr>
            <b/>
            <sz val="9"/>
            <color indexed="81"/>
            <rFont val="Tahoma"/>
            <family val="2"/>
          </rPr>
          <t xml:space="preserve"> </t>
        </r>
        <r>
          <rPr>
            <sz val="9"/>
            <color indexed="81"/>
            <rFont val="Tahoma"/>
            <family val="2"/>
          </rPr>
          <t xml:space="preserve">Total Receivables, Net plus Total Restricted Receivables, Net, and other receivable/ due from amounts per the Attachment HE-10 FST tab for the HEI does not agree to the net receivable amount reported in DOA's Accounts Receivable System, Supplemental Information Item 7a- Receivable Reconciliation, must be submitted along with the Attachment HE-10 submission. Supplemental Item 7a is a separate Excel file available on DOA's website listed below the Attachment HE-10. As a reminder, data must be keyed into DOA's Accounts Receivable System by the Attachment HE-10 due date.
</t>
        </r>
      </text>
    </comment>
    <comment ref="B28" authorId="1" shapeId="0" xr:uid="{00000000-0006-0000-0B00-000001000000}">
      <text>
        <r>
          <rPr>
            <b/>
            <sz val="8"/>
            <color indexed="81"/>
            <rFont val="Arial"/>
            <family val="2"/>
          </rPr>
          <t>Total Receivables, Net:</t>
        </r>
        <r>
          <rPr>
            <sz val="8"/>
            <color indexed="81"/>
            <rFont val="Arial"/>
            <family val="2"/>
          </rPr>
          <t xml:space="preserve">
The Total Receivables, Net per the footnote must agree to the Receivables, Net reported on the financial statement template.  If not, an "ERROR" message will appear.  Make corrections as deemed necessary.
Also, see </t>
        </r>
        <r>
          <rPr>
            <b/>
            <sz val="8"/>
            <color indexed="81"/>
            <rFont val="Arial"/>
            <family val="2"/>
          </rPr>
          <t>Note A</t>
        </r>
        <r>
          <rPr>
            <sz val="8"/>
            <color indexed="81"/>
            <rFont val="Arial"/>
            <family val="2"/>
          </rPr>
          <t xml:space="preserve">.
</t>
        </r>
      </text>
    </comment>
    <comment ref="I28" authorId="1" shapeId="0" xr:uid="{F6E34BBF-1359-4ADA-8A05-DB4C5A7697DF}">
      <text>
        <r>
          <rPr>
            <b/>
            <sz val="8"/>
            <color indexed="81"/>
            <rFont val="Arial"/>
            <family val="2"/>
          </rPr>
          <t>Total Restricted Receivables, Net:</t>
        </r>
        <r>
          <rPr>
            <sz val="8"/>
            <color indexed="81"/>
            <rFont val="Arial"/>
            <family val="2"/>
          </rPr>
          <t xml:space="preserve">
The Total Restricted Receivables, Net per the footnote must agree to the Restricted Receivables, Net reported on the financial statement template.  If not, an "ERROR" message will appear.  Make corrections as deemed necessary.
Also, see </t>
        </r>
        <r>
          <rPr>
            <b/>
            <sz val="8"/>
            <color indexed="81"/>
            <rFont val="Arial"/>
            <family val="2"/>
          </rPr>
          <t>Note A</t>
        </r>
        <r>
          <rPr>
            <sz val="8"/>
            <color indexed="81"/>
            <rFont val="Arial"/>
            <family val="2"/>
          </rPr>
          <t xml:space="preserve">. </t>
        </r>
      </text>
    </comment>
    <comment ref="B49" authorId="1" shapeId="0" xr:uid="{00000000-0006-0000-0B00-000002000000}">
      <text>
        <r>
          <rPr>
            <b/>
            <sz val="8"/>
            <color indexed="81"/>
            <rFont val="Arial"/>
            <family val="2"/>
          </rPr>
          <t>Elimination Entries - Total Receivables, Net:</t>
        </r>
        <r>
          <rPr>
            <sz val="8"/>
            <color indexed="81"/>
            <rFont val="Arial"/>
            <family val="2"/>
          </rPr>
          <t xml:space="preserve">
The Elimination Entries to  Receivables, Net must agree to the HEI elimination entries to Receivables, Net reported on the Elimination Entries to FST tab.  If not, an "ERROR" message will appear.  Make corrections as deemed necessary.</t>
        </r>
      </text>
    </comment>
    <comment ref="I49" authorId="1" shapeId="0" xr:uid="{A6AA39FD-3DD3-4784-86C8-439F60C5209F}">
      <text>
        <r>
          <rPr>
            <b/>
            <sz val="8"/>
            <color indexed="81"/>
            <rFont val="Arial"/>
            <family val="2"/>
          </rPr>
          <t>Elimination Entries - Total Restricted Receivables, Net:</t>
        </r>
        <r>
          <rPr>
            <sz val="8"/>
            <color indexed="81"/>
            <rFont val="Arial"/>
            <family val="2"/>
          </rPr>
          <t xml:space="preserve">
The Elimination Entries to  Restricted Receivables, Net must agree to the HEI elimination entries to Restricted Receivables, Net reported on the Elimination Entries to FST tab.  If not, an "ERROR" message will appear.  Make corrections as deemed necessary.</t>
        </r>
      </text>
    </comment>
  </commentList>
</comments>
</file>

<file path=xl/sharedStrings.xml><?xml version="1.0" encoding="utf-8"?>
<sst xmlns="http://schemas.openxmlformats.org/spreadsheetml/2006/main" count="4709" uniqueCount="1858">
  <si>
    <r>
      <t xml:space="preserve">If yes, what is the total installment purchase obligation amount for energy performance contracts as of year-end that is included in the </t>
    </r>
    <r>
      <rPr>
        <b/>
        <sz val="10"/>
        <rFont val="Arial"/>
        <family val="2"/>
      </rPr>
      <t>installment purchase obligation</t>
    </r>
    <r>
      <rPr>
        <sz val="10"/>
        <rFont val="Arial"/>
        <family val="2"/>
      </rPr>
      <t xml:space="preserve"> line items?</t>
    </r>
  </si>
  <si>
    <t>Interest (excluding interest on Build America Bonds)</t>
  </si>
  <si>
    <t>Non - BABs</t>
  </si>
  <si>
    <t>BABs only</t>
  </si>
  <si>
    <t>Interest Total - Informational</t>
  </si>
  <si>
    <t xml:space="preserve">Interest (only for Build America Bonds- gross amounts) </t>
  </si>
  <si>
    <t>Tab 7, Miscellaneous for HEI</t>
  </si>
  <si>
    <t>Note:  In summary, the unspent escrow proceeds as of year-end should be reported on the appropriate restricted cash &amp; cash equivalent and/or restricted investment line items.  The year-end obligation should be reported as an installment purchase obligation.   Any expenses from the escrow proceeds for capital assets should be reported as a capital asset rather than as expenses.  Any investment earnings on the escrow proceeds should be reported on the appropriate revenue line item.  Any interest expense on the installment purchase obligation should be included in the expenses.</t>
  </si>
  <si>
    <t>HEI</t>
  </si>
  <si>
    <t>Other:  Record as a negative for the HEI column &amp; positive for the HEI Elimination Entries column</t>
  </si>
  <si>
    <r>
      <t xml:space="preserve">Subtotals             </t>
    </r>
    <r>
      <rPr>
        <sz val="9"/>
        <rFont val="Arial"/>
        <family val="2"/>
      </rPr>
      <t xml:space="preserve"> (Prior to Elimination Entries)</t>
    </r>
  </si>
  <si>
    <t>Total per financial statement template</t>
  </si>
  <si>
    <t xml:space="preserve">     </t>
  </si>
  <si>
    <t xml:space="preserve">          Total (Note A)</t>
  </si>
  <si>
    <t>Is the capital asset capitalization policy explained below correct for the institution?  Yes or No</t>
  </si>
  <si>
    <t>Total Accounts Payable</t>
  </si>
  <si>
    <t>Accrued Interest Payable</t>
  </si>
  <si>
    <t>$ Fluctuation</t>
  </si>
  <si>
    <t>% Fluctuation</t>
  </si>
  <si>
    <t>Check figures (Assets less Liabilities) - a</t>
  </si>
  <si>
    <t>1) Permanently restricted/nonexpendable amounts (see reasonableness check)</t>
  </si>
  <si>
    <t>Note B:  The Elimination Entries to FST total must agree to the elimination entries to the Receivables, Net line item reported on the Elimination Entries to FST for the foundations.  If not, an "ERROR" message will appear.  Make corrections as deemed necessary.</t>
  </si>
  <si>
    <t>Note B:  The Elimination Entries to FST Total must agree to the elimination entries to the Contributions Receivable, Net line item reported on the Elimination Entries to FST for the foundations.  If not, an "ERROR" message will appear.  Make corrections as deemed necessary.</t>
  </si>
  <si>
    <t>Note B:  The Notes Payable Total must agree to the elimination entries reported on the Elimination Entries to FST for the foundations.  If not, an "ERROR" message will appear.  Make corrections as deemed necessary.</t>
  </si>
  <si>
    <t>Note E:  The Bonds Payable Total must agree to the elimination entries reported on the Elimination Entries to FST for the foundations.  If not, an "ERROR" message will appear.  Make corrections as deemed necessary.</t>
  </si>
  <si>
    <t>Checklist</t>
  </si>
  <si>
    <t xml:space="preserve">          Total (Note C)</t>
  </si>
  <si>
    <t>Notes Payable Total</t>
  </si>
  <si>
    <t>Bonds Payable Total</t>
  </si>
  <si>
    <t>Installment Purchase Obligation Total</t>
  </si>
  <si>
    <t>Note G</t>
  </si>
  <si>
    <t>Note H</t>
  </si>
  <si>
    <t>Note I</t>
  </si>
  <si>
    <t>Restricted Local Government Investment Pool</t>
  </si>
  <si>
    <t>Restricted State Non-Arbitrage Program (SNAP) Funds</t>
  </si>
  <si>
    <t>Restricted SNAP Individual Portfolio - Cash Equivalents</t>
  </si>
  <si>
    <r>
      <t>Elimination Entries</t>
    </r>
    <r>
      <rPr>
        <sz val="9"/>
        <rFont val="Arial"/>
        <family val="2"/>
      </rPr>
      <t xml:space="preserve"> (linked)</t>
    </r>
  </si>
  <si>
    <t xml:space="preserve">      Treasury's Reimbursement Programs:</t>
  </si>
  <si>
    <t xml:space="preserve">     Treasury's Reimbursement Programs:</t>
  </si>
  <si>
    <t xml:space="preserve">     State Appropriation Revenue - Capital Projects</t>
  </si>
  <si>
    <t>1)  Nature and source of pollution remediation obligations</t>
  </si>
  <si>
    <t>2) Estimated pollution remediation liability $</t>
  </si>
  <si>
    <r>
      <t xml:space="preserve">3)  Less: If applicable - expected recoveries not yet realized or realizable (see </t>
    </r>
    <r>
      <rPr>
        <u/>
        <sz val="9"/>
        <rFont val="Arial"/>
        <family val="2"/>
      </rPr>
      <t>GASBS No. 49</t>
    </r>
    <r>
      <rPr>
        <sz val="9"/>
        <rFont val="Arial"/>
        <family val="2"/>
      </rPr>
      <t xml:space="preserve"> paragraph 19a) - enter as a negative amount</t>
    </r>
  </si>
  <si>
    <t>4)  Estimated net pollution remediation liability $ - recognized amount (2 less 3)</t>
  </si>
  <si>
    <t>Total after ALL Elimination Entries</t>
  </si>
  <si>
    <t>Restricted Cash Equivalents held with Treasurer of VA (excludes SNAP &amp; LGIP):</t>
  </si>
  <si>
    <r>
      <t>a) Provide a description and amount of what is included in the</t>
    </r>
    <r>
      <rPr>
        <b/>
        <sz val="10"/>
        <rFont val="Arial"/>
        <family val="2"/>
      </rPr>
      <t xml:space="preserve"> Other Assets</t>
    </r>
    <r>
      <rPr>
        <sz val="10"/>
        <rFont val="Arial"/>
        <family val="2"/>
      </rPr>
      <t xml:space="preserve"> line item.</t>
    </r>
  </si>
  <si>
    <r>
      <t xml:space="preserve">b) Provide a description and amount of what is included in the </t>
    </r>
    <r>
      <rPr>
        <b/>
        <sz val="10"/>
        <rFont val="Arial"/>
        <family val="2"/>
      </rPr>
      <t>Other Restricted Assets</t>
    </r>
    <r>
      <rPr>
        <sz val="10"/>
        <rFont val="Arial"/>
        <family val="2"/>
      </rPr>
      <t xml:space="preserve"> line item.</t>
    </r>
  </si>
  <si>
    <t>Total Elimination Entries to Receivables, Net</t>
  </si>
  <si>
    <t>Total Capital Lease Obligations</t>
  </si>
  <si>
    <t>no elimination entries are necessary on this spreadsheet.</t>
  </si>
  <si>
    <r>
      <t>If yes to a)</t>
    </r>
    <r>
      <rPr>
        <strike/>
        <sz val="10"/>
        <rFont val="Arial"/>
        <family val="2"/>
      </rPr>
      <t>, complete the following:</t>
    </r>
  </si>
  <si>
    <r>
      <t>If yes or no to a)</t>
    </r>
    <r>
      <rPr>
        <strike/>
        <sz val="10"/>
        <rFont val="Arial"/>
        <family val="2"/>
      </rPr>
      <t>, complete the following:</t>
    </r>
  </si>
  <si>
    <t>The above information is linked to the FST tab.  If any of the information is incorrect, key in correct information.</t>
  </si>
  <si>
    <t>Foundation (linked)</t>
  </si>
  <si>
    <t>Other -  Provide descriptions:</t>
  </si>
  <si>
    <t>If yes, complete Part 2c.</t>
  </si>
  <si>
    <t xml:space="preserve">                </t>
  </si>
  <si>
    <t xml:space="preserve">Cost </t>
  </si>
  <si>
    <t>yes or no</t>
  </si>
  <si>
    <t>SNAP Account numbers:</t>
  </si>
  <si>
    <t>Other:  Record as a negative for the foundation columns &amp; positive for the elimination entry columns</t>
  </si>
  <si>
    <t>State Appropriation Revenue - Operating: Other</t>
  </si>
  <si>
    <t>TAB F10</t>
  </si>
  <si>
    <r>
      <t>Energy Performance Contracts</t>
    </r>
    <r>
      <rPr>
        <sz val="10"/>
        <rFont val="Arial"/>
        <family val="2"/>
      </rPr>
      <t xml:space="preserve">:  Does the HEI have any Virginia Energy Leasing Program (VELP) and/or Energy Performance Contracts?  </t>
    </r>
  </si>
  <si>
    <t>Due from Primary Government (interest/rebate allocation)</t>
  </si>
  <si>
    <t>TAB 1A-Parts 3 &amp; 6b</t>
  </si>
  <si>
    <t>Increase in Split-Interest Agreements</t>
  </si>
  <si>
    <t>Lower of Cost or Market</t>
  </si>
  <si>
    <t>LIFO</t>
  </si>
  <si>
    <t>Average Cost</t>
  </si>
  <si>
    <t>Cost</t>
  </si>
  <si>
    <t>Weighted Average</t>
  </si>
  <si>
    <t>Current Market Cost</t>
  </si>
  <si>
    <t>Are there any contingent liabilities that should be disclosed?</t>
  </si>
  <si>
    <t>What is the cost used to determine value?</t>
  </si>
  <si>
    <t>Combined Total</t>
  </si>
  <si>
    <t>Cash and Cash Equivalents</t>
  </si>
  <si>
    <t>Cash and Travel Advances</t>
  </si>
  <si>
    <t>Due to Other Governments (I.e. Federal/Local Govts.)</t>
  </si>
  <si>
    <t>Due to Higher Education Institution</t>
  </si>
  <si>
    <r>
      <t>Foundation(s)</t>
    </r>
    <r>
      <rPr>
        <sz val="9"/>
        <rFont val="Arial"/>
        <family val="2"/>
      </rPr>
      <t xml:space="preserve"> Year-End Totals (linked)</t>
    </r>
  </si>
  <si>
    <t>Trust and Annuity Obligations</t>
  </si>
  <si>
    <t>Bonds Payable (issued through DOT- 9c)</t>
  </si>
  <si>
    <t>Bonds Payable (issued through DOT- 9d)</t>
  </si>
  <si>
    <t xml:space="preserve">Drop-down list for </t>
  </si>
  <si>
    <t>Inventory cost method</t>
  </si>
  <si>
    <t>Inventory Value Method</t>
  </si>
  <si>
    <t>Restricted Asset Description:</t>
  </si>
  <si>
    <t>Part 1)  Inventory</t>
  </si>
  <si>
    <r>
      <t xml:space="preserve">If </t>
    </r>
    <r>
      <rPr>
        <b/>
        <sz val="9"/>
        <rFont val="Arial"/>
        <family val="2"/>
      </rPr>
      <t>yes</t>
    </r>
    <r>
      <rPr>
        <sz val="9"/>
        <rFont val="Arial"/>
        <family val="2"/>
      </rPr>
      <t xml:space="preserve"> to previous question, provide disclosure information.</t>
    </r>
  </si>
  <si>
    <t>Due from Component Units</t>
  </si>
  <si>
    <t>If the description for any of the above line items is Other, provide description.</t>
  </si>
  <si>
    <t>Balance</t>
  </si>
  <si>
    <t>Increases</t>
  </si>
  <si>
    <t>Decreases</t>
  </si>
  <si>
    <t>d)  Was this amount reported on the Long-term liabilities - Other line items?  If no, what FST line item was it reported under?</t>
  </si>
  <si>
    <t>NA</t>
  </si>
  <si>
    <t>$ Amount</t>
  </si>
  <si>
    <r>
      <t xml:space="preserve">Loans Payable to Primary Government </t>
    </r>
    <r>
      <rPr>
        <sz val="9"/>
        <rFont val="Arial"/>
        <family val="2"/>
      </rPr>
      <t>(report GLA 524 balances on this line item)</t>
    </r>
  </si>
  <si>
    <t xml:space="preserve">Restricted Cash and Cash Equivalents </t>
  </si>
  <si>
    <r>
      <t xml:space="preserve">If </t>
    </r>
    <r>
      <rPr>
        <b/>
        <sz val="10"/>
        <rFont val="Arial"/>
        <family val="2"/>
      </rPr>
      <t>yes</t>
    </r>
    <r>
      <rPr>
        <sz val="10"/>
        <rFont val="Arial"/>
        <family val="2"/>
      </rPr>
      <t>, provide footnote wording below.  If not enough space is provided, e-mail wording in a separate document.</t>
    </r>
  </si>
  <si>
    <t xml:space="preserve">     Miscellaneous Revenues</t>
  </si>
  <si>
    <t>Combining Financial Statement Template for Foundations</t>
  </si>
  <si>
    <r>
      <t xml:space="preserve">*Provide a description of </t>
    </r>
    <r>
      <rPr>
        <b/>
        <sz val="9"/>
        <rFont val="Arial"/>
        <family val="2"/>
      </rPr>
      <t>Notes Payable (Other than Pooled Bonds</t>
    </r>
    <r>
      <rPr>
        <sz val="9"/>
        <rFont val="Arial"/>
        <family val="2"/>
      </rPr>
      <t>).  (Some information that should be included are as follows:  type of note, payee, reason for note, interest rate, maturity/due date, etc.)</t>
    </r>
  </si>
  <si>
    <t>Include unspent proceeds on debt related to capital assets (amount should exclude investment earnings- see Note A)</t>
  </si>
  <si>
    <t>Variance check figure</t>
  </si>
  <si>
    <t>F</t>
  </si>
  <si>
    <t xml:space="preserve"> </t>
  </si>
  <si>
    <t>Total Restricted for Nonexpendable:</t>
  </si>
  <si>
    <t>Total Restricted for Expendable:</t>
  </si>
  <si>
    <t>TAB 1A-Part 1</t>
  </si>
  <si>
    <t>Part 1a)  Comparison of Beginning Balances to Prior Year's Ending Balances</t>
  </si>
  <si>
    <t>(provide explanations below)</t>
  </si>
  <si>
    <t>Variance check figures (a less b)</t>
  </si>
  <si>
    <t>drop-down list:</t>
  </si>
  <si>
    <t>Bonds Payable</t>
  </si>
  <si>
    <t>Investments (DOA Securities Lending AJE)</t>
  </si>
  <si>
    <t xml:space="preserve">Does the HEI have any nonexchange transactions that are not recognizable because they are not measurable?   </t>
  </si>
  <si>
    <t>Less:</t>
  </si>
  <si>
    <t xml:space="preserve">keyed </t>
  </si>
  <si>
    <t>Subtotal - Cash Equivalents (excluding Nonnegotiable Certificates of Deposit)</t>
  </si>
  <si>
    <t>Operating and Nonoperating Expenses</t>
  </si>
  <si>
    <t>Total Program Expenses</t>
  </si>
  <si>
    <t>Payments/Support from Higher Education Institution</t>
  </si>
  <si>
    <t>Payments/Support from Foundation(s)</t>
  </si>
  <si>
    <t>Payments/Support to Higher Education Institution</t>
  </si>
  <si>
    <t>Payments/Support to Foundation(s)</t>
  </si>
  <si>
    <t>Restricted Cash Equivalents held with Treasurer of VA (excludes SNAP &amp; LGIP)</t>
  </si>
  <si>
    <t>Restricted Investments not held with Treasurer of VA (excludes SNAP)</t>
  </si>
  <si>
    <t>TAB 1A-Part 2</t>
  </si>
  <si>
    <t xml:space="preserve">TAB 1A-Part 2 </t>
  </si>
  <si>
    <t>Total Long-term Liabilities:</t>
  </si>
  <si>
    <t xml:space="preserve">Total Appropriation Available &amp; Due from Primary Government </t>
  </si>
  <si>
    <t>OPEB Liability</t>
  </si>
  <si>
    <r>
      <t>TAB 9</t>
    </r>
    <r>
      <rPr>
        <b/>
        <sz val="9"/>
        <rFont val="Arial"/>
        <family val="2"/>
      </rPr>
      <t xml:space="preserve"> </t>
    </r>
  </si>
  <si>
    <t>SA</t>
  </si>
  <si>
    <t>Do the restricted assets represent endowments and other contractual obligations?</t>
  </si>
  <si>
    <t>yes/no/na</t>
  </si>
  <si>
    <t>Do the restricted assets represent restrictions under bond indenture agreements?</t>
  </si>
  <si>
    <t>Part 5)  Deferred Compensation Liability for Current or Former HEI Employees</t>
  </si>
  <si>
    <t>a)  Does the foundation report a deferred compensation liability as of year-end?  If yes, answer the following:</t>
  </si>
  <si>
    <t>b)  Is the deferred compensation liability payable to current or former employees of the higher education institution?</t>
  </si>
  <si>
    <t>Yes or No</t>
  </si>
  <si>
    <t>Part 4)</t>
  </si>
  <si>
    <t xml:space="preserve">U.S. Treasury and </t>
  </si>
  <si>
    <t xml:space="preserve">   Agency  Securities</t>
  </si>
  <si>
    <t>Common &amp; Preferred Stocks</t>
  </si>
  <si>
    <t>Corporate Notes</t>
  </si>
  <si>
    <t>Corporate Bonds</t>
  </si>
  <si>
    <t>Commercial Paper</t>
  </si>
  <si>
    <t>Municipal Securities</t>
  </si>
  <si>
    <t>Repurchase Agreements</t>
  </si>
  <si>
    <t>Index Funds</t>
  </si>
  <si>
    <t>Real Estate</t>
  </si>
  <si>
    <t>Yes</t>
  </si>
  <si>
    <t>No</t>
  </si>
  <si>
    <t xml:space="preserve">Notes Payable (Other than for Pooled Bonds) </t>
  </si>
  <si>
    <t>Note B:  This Total must agree to the Bond Anticipation Notes Payable-Due Within One Year plus the Bond Anticipation Notes Payable-Due in More Than One Year on the Combining FST tab  in the Foundation(s) Year-End Totals column.  If not, an "ERROR" message will appear.  Make corrections as deemed necessary.</t>
  </si>
  <si>
    <t>TAB F7, Miscellaneous Footnote for Foundation(s)</t>
  </si>
  <si>
    <t>Part 2)  Restricted Cash and Cash Equivalents/Restricted Investments/Other Restricted Assets:</t>
  </si>
  <si>
    <t xml:space="preserve">Bonds Payable (issued by Institution-Institutional Debt) </t>
  </si>
  <si>
    <t xml:space="preserve">TAB 5-Part 1 </t>
  </si>
  <si>
    <t>TAB 5-Part 1</t>
  </si>
  <si>
    <t xml:space="preserve">Instruction </t>
  </si>
  <si>
    <t xml:space="preserve">Research </t>
  </si>
  <si>
    <t xml:space="preserve">Academic Support </t>
  </si>
  <si>
    <t xml:space="preserve">Hospitals </t>
  </si>
  <si>
    <t xml:space="preserve">Departmental Uses </t>
  </si>
  <si>
    <t xml:space="preserve">Scholarships and fellowships </t>
  </si>
  <si>
    <t xml:space="preserve">Debt Service </t>
  </si>
  <si>
    <t xml:space="preserve">Capital Projects </t>
  </si>
  <si>
    <t xml:space="preserve">Auxiliary Operating </t>
  </si>
  <si>
    <t xml:space="preserve">Loans </t>
  </si>
  <si>
    <t>Scholarships and fellowships</t>
  </si>
  <si>
    <t xml:space="preserve">Part 6)  </t>
  </si>
  <si>
    <t xml:space="preserve"> Make corrections as deemed necessary.</t>
  </si>
  <si>
    <t>Informational - Short-term debt (linked)</t>
  </si>
  <si>
    <t>Informational:</t>
  </si>
  <si>
    <t>(negative $)</t>
  </si>
  <si>
    <t>Other Liabilities - Other</t>
  </si>
  <si>
    <t>Other Liabilities - Deposits Pending Distribution</t>
  </si>
  <si>
    <t>Other Liabilities - Grants Payable</t>
  </si>
  <si>
    <t xml:space="preserve">Loans Payable to Primary Government </t>
  </si>
  <si>
    <t>Year-End Date (linked)</t>
  </si>
  <si>
    <t xml:space="preserve">        Subtotal</t>
  </si>
  <si>
    <t>Short-term Debt (i.e. lines of credit)</t>
  </si>
  <si>
    <t xml:space="preserve">Restricted LGIP  Investments (DOA use only) </t>
  </si>
  <si>
    <r>
      <t>Note C</t>
    </r>
    <r>
      <rPr>
        <sz val="9"/>
        <rFont val="Arial"/>
        <family val="2"/>
      </rPr>
      <t>:  The "</t>
    </r>
    <r>
      <rPr>
        <b/>
        <sz val="9"/>
        <rFont val="Arial"/>
        <family val="2"/>
      </rPr>
      <t>Elimination Entries</t>
    </r>
    <r>
      <rPr>
        <sz val="9"/>
        <rFont val="Arial"/>
        <family val="2"/>
      </rPr>
      <t xml:space="preserve">" column shows the elimination of significant intrafund balance/activity amounts between the HEI and the discrete foundation(s) recorded on the </t>
    </r>
  </si>
  <si>
    <t>Part 6) Deferred Compensation Program for the Foundation Employees</t>
  </si>
  <si>
    <t>Other Restricted Assets</t>
  </si>
  <si>
    <t>Land</t>
  </si>
  <si>
    <t>Inexhaustible Works of Art and/or Historical Treasures</t>
  </si>
  <si>
    <t>Construction in Progress</t>
  </si>
  <si>
    <t>Livestock</t>
  </si>
  <si>
    <t>Buildings</t>
  </si>
  <si>
    <r>
      <t xml:space="preserve">HEI &amp; Foundation </t>
    </r>
    <r>
      <rPr>
        <sz val="10"/>
        <rFont val="Arial"/>
        <family val="2"/>
      </rPr>
      <t>reconciliation tabs</t>
    </r>
  </si>
  <si>
    <t>Type of Short-Term Debt</t>
  </si>
  <si>
    <t>BANS</t>
  </si>
  <si>
    <t>Part 2) Capital Asset Capitalization Policy</t>
  </si>
  <si>
    <t>Part 3)  Works of Art/Historical Treasures</t>
  </si>
  <si>
    <t>TAB 1A-Part 4a</t>
  </si>
  <si>
    <t>FST &amp; Combining FST</t>
  </si>
  <si>
    <t>Check figures (Assets &amp; Deferred Outflows less Liabilities &amp; Deferred Inflows) - a</t>
  </si>
  <si>
    <t>Appropriation Act Part 3 Transfers (GLAs 986/987)</t>
  </si>
  <si>
    <t xml:space="preserve">     Computer Software (including websites)</t>
  </si>
  <si>
    <t xml:space="preserve">      Treasury's Reimbursement Programs (revised line items):</t>
  </si>
  <si>
    <t>Check figures (Assets less Liabilities)</t>
  </si>
  <si>
    <t xml:space="preserve">     Treasury's Reimbursement Programs (revised line items):</t>
  </si>
  <si>
    <t>Check totals &amp; comparisons</t>
  </si>
  <si>
    <t xml:space="preserve">     Total Depreciable Capital Assets, Net</t>
  </si>
  <si>
    <t>Does the amounts reported in Part 1 agree to the amounts on the HEI-PY FST $ tab?</t>
  </si>
  <si>
    <t>Accounts Payable:</t>
  </si>
  <si>
    <t xml:space="preserve">    Total Accounts Payable</t>
  </si>
  <si>
    <t>1)</t>
  </si>
  <si>
    <t>Item</t>
  </si>
  <si>
    <t xml:space="preserve">Unearned Revenue </t>
  </si>
  <si>
    <t>Informational subtotals for certain line items:</t>
  </si>
  <si>
    <t>SNAP Account #</t>
  </si>
  <si>
    <t>Part 6)</t>
  </si>
  <si>
    <t>Note C</t>
  </si>
  <si>
    <t xml:space="preserve">Provide Description </t>
  </si>
  <si>
    <r>
      <t xml:space="preserve">cash equivalent line items.  </t>
    </r>
    <r>
      <rPr>
        <b/>
        <sz val="9"/>
        <rFont val="Arial"/>
        <family val="2"/>
      </rPr>
      <t>Part 2</t>
    </r>
    <r>
      <rPr>
        <sz val="9"/>
        <rFont val="Arial"/>
        <family val="2"/>
      </rPr>
      <t xml:space="preserve"> must be completed for foundation(s) that have amounts reported on the</t>
    </r>
  </si>
  <si>
    <t>TAB F1</t>
  </si>
  <si>
    <t>See Note A</t>
  </si>
  <si>
    <t>See Note B</t>
  </si>
  <si>
    <t>See Note C</t>
  </si>
  <si>
    <t>Fluctuation of HEI Totals</t>
  </si>
  <si>
    <t>Part 10) Derivative Instruments</t>
  </si>
  <si>
    <t>Does the foundation report derivative instruments on the Combining FST?  If yes, provide below a description/Combining FST line item and amount.</t>
  </si>
  <si>
    <t xml:space="preserve">   Appropriation Act Part 3 Transfers (GLAs 986/987)</t>
  </si>
  <si>
    <t>If yes, has this activity been properly reported on the FST in accordance with the Higher Education Institution Reporting Procedures located on DOA's website?</t>
  </si>
  <si>
    <t>Agency Mortgage Backed</t>
  </si>
  <si>
    <t>Bankers' Acceptance</t>
  </si>
  <si>
    <t>Obligations Under Securities Lending Program</t>
  </si>
  <si>
    <t>Does the foundation report intangible assets on the Combining FST?  If yes, provide below a description/Combining FST line item and amount.</t>
  </si>
  <si>
    <t>Gross Receivable Amounts:</t>
  </si>
  <si>
    <t>Infrastructure (historical approach)</t>
  </si>
  <si>
    <t xml:space="preserve">    Total Long-Term Liabilities</t>
  </si>
  <si>
    <t>Prepared by:</t>
  </si>
  <si>
    <t>Name</t>
  </si>
  <si>
    <t>Title</t>
  </si>
  <si>
    <t>Reviewed by:</t>
  </si>
  <si>
    <t>Nondepreciable Capital Assets:</t>
  </si>
  <si>
    <t xml:space="preserve">    Total Nondepreciable Capital Assets</t>
  </si>
  <si>
    <t>Infrastructure</t>
  </si>
  <si>
    <t>Less Accumulated Depreciation for:</t>
  </si>
  <si>
    <t>Intangible Assets (GASBS 51)</t>
  </si>
  <si>
    <t xml:space="preserve">     Computer Software</t>
  </si>
  <si>
    <t xml:space="preserve">     Patents, Trademarks, and/or Copyrights</t>
  </si>
  <si>
    <t xml:space="preserve">     Water Rights and/or Easements</t>
  </si>
  <si>
    <t xml:space="preserve">     Other Intangibles (provide description):</t>
  </si>
  <si>
    <t>LT Liabilities: Due in More Than One Year - Trust and Annuity Obligations</t>
  </si>
  <si>
    <r>
      <t>Claims Payable (**</t>
    </r>
    <r>
      <rPr>
        <b/>
        <sz val="9"/>
        <rFont val="Arial"/>
        <family val="2"/>
      </rPr>
      <t>Provide a description below</t>
    </r>
    <r>
      <rPr>
        <sz val="9"/>
        <rFont val="Arial"/>
        <family val="2"/>
      </rPr>
      <t>)</t>
    </r>
  </si>
  <si>
    <t xml:space="preserve">   Other</t>
  </si>
  <si>
    <t>Total Long-term Liabilities</t>
  </si>
  <si>
    <t>Other Receivables (Provide descriptions):</t>
  </si>
  <si>
    <t>If no, provide description for what is reported as unearned revenue.</t>
  </si>
  <si>
    <t>TAB F1, TAB F7-Part 2</t>
  </si>
  <si>
    <t>TAB 1A, GASBS 3</t>
  </si>
  <si>
    <r>
      <t>Note A</t>
    </r>
    <r>
      <rPr>
        <sz val="9"/>
        <rFont val="Arial"/>
        <family val="2"/>
      </rPr>
      <t>:  "</t>
    </r>
    <r>
      <rPr>
        <b/>
        <sz val="9"/>
        <rFont val="Arial"/>
        <family val="2"/>
      </rPr>
      <t>HEI</t>
    </r>
    <r>
      <rPr>
        <sz val="9"/>
        <rFont val="Arial"/>
        <family val="2"/>
      </rPr>
      <t>" includes the  higher education institution and any blended component units.</t>
    </r>
  </si>
  <si>
    <t>TAB 1A-Part 3</t>
  </si>
  <si>
    <r>
      <t xml:space="preserve">Cash Equivalents </t>
    </r>
    <r>
      <rPr>
        <b/>
        <sz val="10"/>
        <rFont val="Arial"/>
        <family val="2"/>
      </rPr>
      <t>not held</t>
    </r>
    <r>
      <rPr>
        <sz val="10"/>
        <rFont val="Arial"/>
        <family val="2"/>
      </rPr>
      <t xml:space="preserve"> with Treasurer of VA (excludes SNAP)</t>
    </r>
  </si>
  <si>
    <r>
      <t xml:space="preserve">Restricted Cash Equivalents </t>
    </r>
    <r>
      <rPr>
        <b/>
        <sz val="10"/>
        <rFont val="Arial"/>
        <family val="2"/>
      </rPr>
      <t>not held</t>
    </r>
    <r>
      <rPr>
        <sz val="10"/>
        <rFont val="Arial"/>
        <family val="2"/>
      </rPr>
      <t xml:space="preserve"> with Treasurer of VA (excludes SNAP)</t>
    </r>
  </si>
  <si>
    <t>Note A:  If the totals do not agree to the Other Asset amounts reported on the Combining FST, an "Error" message will appear.  Make corrections as deemed necessary.</t>
  </si>
  <si>
    <t>Note B:  If the totals do not agree to the Other Restricted Asset amounts reported on the Combining FST, an "Error" message will appear.  Make corrections as deemed necessary.</t>
  </si>
  <si>
    <t>Note C:  If the totals do not agree to the Other Liability amounts reported on the Combining FST, an "Error" message will appear.  Make corrections as deemed necessary.</t>
  </si>
  <si>
    <r>
      <t xml:space="preserve">16d)  </t>
    </r>
    <r>
      <rPr>
        <b/>
        <sz val="9"/>
        <rFont val="Arial"/>
        <family val="2"/>
      </rPr>
      <t>Remeasurement</t>
    </r>
    <r>
      <rPr>
        <sz val="9"/>
        <rFont val="Arial"/>
        <family val="2"/>
      </rPr>
      <t xml:space="preserve">:  Has the HEI determined if a previous estimate of the pollution remediation liability should be revised based on recognition benchmarks being met or new information indicates a change is needed as required by </t>
    </r>
    <r>
      <rPr>
        <u/>
        <sz val="9"/>
        <rFont val="Arial"/>
        <family val="2"/>
      </rPr>
      <t>GASBS No. 49</t>
    </r>
    <r>
      <rPr>
        <sz val="9"/>
        <rFont val="Arial"/>
        <family val="2"/>
      </rPr>
      <t xml:space="preserve">?   If no, explain. (Note:  Since FY 2009 is the first year to implement </t>
    </r>
    <r>
      <rPr>
        <u/>
        <sz val="9"/>
        <rFont val="Arial"/>
        <family val="2"/>
      </rPr>
      <t>GASBS No. 49</t>
    </r>
    <r>
      <rPr>
        <sz val="9"/>
        <rFont val="Arial"/>
        <family val="2"/>
      </rPr>
      <t>, a "n/a" option is provided if a remeasurement for this first year is not applicable.)</t>
    </r>
  </si>
  <si>
    <t xml:space="preserve">Note A:   This Total Contributions Receivables, Net must agree to the Contributions Receivables, Net reported on the Combining FST.  If not, an "ERROR" message will appear.  Make corrections as deemed necessary.  </t>
  </si>
  <si>
    <t>Note C:  This Total after All Elimination Entries must agree to the Investments plus Restricted Investments reported on the FST in the Combined Total column.  If not, an "ERROR" message will appear.  Make corrections as deemed necessary.</t>
  </si>
  <si>
    <t>Other Receivables (provide descriptions):</t>
  </si>
  <si>
    <t>i) Provide the actual dollars contributed by the foundation during the year.</t>
  </si>
  <si>
    <t>TAB 1A-Part 5b</t>
  </si>
  <si>
    <t>TAB 1A-Part 6a</t>
  </si>
  <si>
    <t>TAB 1A-Part 5a</t>
  </si>
  <si>
    <t xml:space="preserve">     State appropriation revenue - operating:</t>
  </si>
  <si>
    <t>Revenue from VCBA (21st Century)</t>
  </si>
  <si>
    <t>Revenue from VCBA (ETF)</t>
  </si>
  <si>
    <t>Capital Contributions from Treasury (GOB)</t>
  </si>
  <si>
    <t>Note C:  This Notes Payable Total after All Elimination Entries must agree to the amounts reported on the FST in the Foundation(s) column plus the Elimination Entries to FST in the Foundation(s) column.  If not, an "ERROR" message will appear.  Make corrections as deemed necessary.</t>
  </si>
  <si>
    <t xml:space="preserve">Note D:  This Bonds Payable Total must agree to the amount reported on the Combining FST tab.  If not, an "ERROR" message will appear.  Make corrections as deemed necessary.  </t>
  </si>
  <si>
    <t>Note F:  This Bonds Payable Total after All Elimination Entries must agree to the amounts reported on the FST in the Foundation(s) column plus the Elimination Entries to FST in the Foundation(s) column.  If not, an "ERROR" message will appear.  Make corrections as deemed necessary.</t>
  </si>
  <si>
    <t>Note D</t>
  </si>
  <si>
    <t>Note E</t>
  </si>
  <si>
    <t>Note F</t>
  </si>
  <si>
    <t>drop down list</t>
  </si>
  <si>
    <r>
      <t>DOA Entries related to Securities Lending</t>
    </r>
    <r>
      <rPr>
        <sz val="10"/>
        <rFont val="Arial"/>
        <family val="2"/>
      </rPr>
      <t xml:space="preserve">:  If applicable, were the securities lending entries provided by DOA properly reported on the FST?  </t>
    </r>
  </si>
  <si>
    <t>HEI &amp; Foundations</t>
  </si>
  <si>
    <t xml:space="preserve">drop-down list </t>
  </si>
  <si>
    <t xml:space="preserve">HEI Total Prior Year  </t>
  </si>
  <si>
    <r>
      <t>Classification of Restricted Cash, Cash Equivalents, and Investments:</t>
    </r>
    <r>
      <rPr>
        <sz val="10"/>
        <rFont val="Arial"/>
        <family val="2"/>
      </rPr>
      <t xml:space="preserve">  Have amounts been properly reported on the FST and Combining FST in accordance with the guidelines described below? </t>
    </r>
  </si>
  <si>
    <t>Long-Term Liabilities Due in More Than One Year</t>
  </si>
  <si>
    <t>Long-Term Liabilities Due Within One Year</t>
  </si>
  <si>
    <t>Vendor Payments</t>
  </si>
  <si>
    <t>Salaries/Wages</t>
  </si>
  <si>
    <t xml:space="preserve">Claims Payable </t>
  </si>
  <si>
    <t>Construction-in-Progress</t>
  </si>
  <si>
    <t>Amounts:</t>
  </si>
  <si>
    <t>Description:</t>
  </si>
  <si>
    <t>Foundation(s) Total Prior Year</t>
  </si>
  <si>
    <t>Fluctuation of Foundation(s) Totals</t>
  </si>
  <si>
    <t>Foundation  (linked)</t>
  </si>
  <si>
    <t>Special Item</t>
  </si>
  <si>
    <t>Extraordinary Item</t>
  </si>
  <si>
    <t>Appropriations Available-Capital Projects</t>
  </si>
  <si>
    <t>Appropriations Available-Other</t>
  </si>
  <si>
    <t>Due from Component Units (VCBA 21st Century)</t>
  </si>
  <si>
    <t>Due from Component Units (VCBA ETF)</t>
  </si>
  <si>
    <t>Due from Primary Government (GOB)</t>
  </si>
  <si>
    <t>Due from Primary Government (VPBA)</t>
  </si>
  <si>
    <t>Intangible Assets with Indefinite Useful life:</t>
  </si>
  <si>
    <t>Check figure</t>
  </si>
  <si>
    <t xml:space="preserve">Elimination Entries on the Elimination Entries to FST tab </t>
  </si>
  <si>
    <t xml:space="preserve">The green highlighted cells in this column are linked to the Combining FST tab totals.  </t>
  </si>
  <si>
    <t xml:space="preserve">TAB F10 </t>
  </si>
  <si>
    <t>Total Claims Payable</t>
  </si>
  <si>
    <t>Total State Appropriation Revenue-Capital Projects &amp; Capital Contributions from Treasury (GOB &amp; VPBA)</t>
  </si>
  <si>
    <t>Total Revenue from VCBA (21st Century &amp; ETF)</t>
  </si>
  <si>
    <r>
      <t>Note C</t>
    </r>
    <r>
      <rPr>
        <sz val="9"/>
        <rFont val="Arial"/>
        <family val="2"/>
      </rPr>
      <t>:  The "</t>
    </r>
    <r>
      <rPr>
        <b/>
        <sz val="9"/>
        <rFont val="Arial"/>
        <family val="2"/>
      </rPr>
      <t>Elimination Entries to FST - Combined Total</t>
    </r>
    <r>
      <rPr>
        <sz val="9"/>
        <rFont val="Arial"/>
        <family val="2"/>
      </rPr>
      <t xml:space="preserve">" shows the total elimination of significant intrafund balance/activity amounts between </t>
    </r>
  </si>
  <si>
    <t>equal.  The Combined Total amounts on the FST for the intrafund to/from line items should be zero after all amounts, including elimination entries, have been entered.</t>
  </si>
  <si>
    <t>LT Liabilities: Due in More Than One Year - Bond Anticipation Notes Payable</t>
  </si>
  <si>
    <t>LT Liabilities: Due in More Than One Year - Installment Purchases</t>
  </si>
  <si>
    <t>Total Restricted Cash Equivalents held with Treasurer of VA:</t>
  </si>
  <si>
    <t>Total Investments held with Treasurer of VA</t>
  </si>
  <si>
    <t>DOA may request an explanation for differences between the MELP listing and the amounts provided below.)</t>
  </si>
  <si>
    <t>Must agree to Att. HE-9</t>
  </si>
  <si>
    <t>Must agree to Att HE-9</t>
  </si>
  <si>
    <t>If amounts are not zero, an "ERROR" message will appear.   The green highlighted cells in this column are linked to the combined totals on the Elimination Entries to FST tab.</t>
  </si>
  <si>
    <t>1)  The assets are "held for public exhibition, education, or research in furtherance of public service rather than financial gain."</t>
  </si>
  <si>
    <t>2)  The assets are "protected, kept unencumbered, cared for, and preserved."</t>
  </si>
  <si>
    <t>3)  The assets are "subject to an organizational policy that requires the proceeds from sales of collection items to be used to acquire other items for collections."</t>
  </si>
  <si>
    <t>LT Liabilities: Due Within One Year - Compensated Absences</t>
  </si>
  <si>
    <t>LT Liabilities: Due Within One Year - Notes Payable</t>
  </si>
  <si>
    <t>Notes or Reference to TABS that must be completed for Foundation amounts</t>
  </si>
  <si>
    <t>check figure</t>
  </si>
  <si>
    <t>Deposits Pending Distribution</t>
  </si>
  <si>
    <t>LGIP Account numbers:</t>
  </si>
  <si>
    <t>Yes/No/N/A HEI</t>
  </si>
  <si>
    <t>Yes/No/N/A  Foundation</t>
  </si>
  <si>
    <t>n/a</t>
  </si>
  <si>
    <t>Foundation Elimination Entries on Elimination Entries to FST tab</t>
  </si>
  <si>
    <t>Other:  Record as a positive for the foundation columns &amp; negative for elimination entry columns</t>
  </si>
  <si>
    <t>5) Provide the FST line item that the above estimated net pollution remediation liability -recognized $ amount is reported</t>
  </si>
  <si>
    <t>Financial Statement Template</t>
  </si>
  <si>
    <t xml:space="preserve">Total </t>
  </si>
  <si>
    <t>Claims Payable - Due Within One Year</t>
  </si>
  <si>
    <t>Claims Payable - Due in More Than One Year</t>
  </si>
  <si>
    <t>Other Postemployment Benefits</t>
  </si>
  <si>
    <r>
      <t xml:space="preserve">If </t>
    </r>
    <r>
      <rPr>
        <b/>
        <sz val="10"/>
        <rFont val="Arial"/>
        <family val="2"/>
      </rPr>
      <t>yes</t>
    </r>
    <r>
      <rPr>
        <sz val="10"/>
        <rFont val="Arial"/>
        <family val="2"/>
      </rPr>
      <t>, complete TAB F8, Intrafund.</t>
    </r>
  </si>
  <si>
    <t>Loans Receivable from Primary Government</t>
  </si>
  <si>
    <t>Loans Receivable from Component Units</t>
  </si>
  <si>
    <t>11)</t>
  </si>
  <si>
    <t>12)</t>
  </si>
  <si>
    <t xml:space="preserve">Cash not held with Treasurer of VA </t>
  </si>
  <si>
    <t>Cash held with Treasurer of VA</t>
  </si>
  <si>
    <t>Restricted Cash held with Treasurer of VA</t>
  </si>
  <si>
    <t>Restricted Cash not held with Treasurer of VA</t>
  </si>
  <si>
    <t>Cash held with Treasurer of VA/Restricted Cash held with Treasurer of VA</t>
  </si>
  <si>
    <t>Cash Equivalents and Investments held with Treasurer of VA:</t>
  </si>
  <si>
    <t>Total Cash Equivalents held with Treasurer of VA:</t>
  </si>
  <si>
    <t>LT Liabilities: Due Within One Year - Trust and Annuity Obligations</t>
  </si>
  <si>
    <t>LT Liabilities: Due in More Than One Year - Compensated Absences</t>
  </si>
  <si>
    <t>LT Liabilities: Due in More Than One Year - Notes Payable</t>
  </si>
  <si>
    <t>LT Liabilities: Due in More Than One Year - Bonds Payable</t>
  </si>
  <si>
    <t>Subtotal</t>
  </si>
  <si>
    <t xml:space="preserve">Note A:  This Notes Payable Total must agree to the amount reported on the Combining FST tab.  If not, an "ERROR" message will appear.  Make corrections as deemed necessary.  </t>
  </si>
  <si>
    <t>Yes/No/N/A</t>
  </si>
  <si>
    <t>Issuances and Other Increases</t>
  </si>
  <si>
    <t>Retirements and Other Decreases (negative $)</t>
  </si>
  <si>
    <t>Due Within One Year</t>
  </si>
  <si>
    <t>Maturity Fiscal Year Ended June 30:</t>
  </si>
  <si>
    <t>Principal</t>
  </si>
  <si>
    <t>Interest</t>
  </si>
  <si>
    <t>Total</t>
  </si>
  <si>
    <t xml:space="preserve">In the space provided below, briefly describe the useful life methodology that has been developed.  Ensure this addresses how the methodology was developed. </t>
  </si>
  <si>
    <t>drop-down list</t>
  </si>
  <si>
    <t>Bond Indenture Agreements</t>
  </si>
  <si>
    <t xml:space="preserve">Drop-down </t>
  </si>
  <si>
    <t>list</t>
  </si>
  <si>
    <t>Drop-down</t>
  </si>
  <si>
    <t>N/A</t>
  </si>
  <si>
    <t>If amounts are not zero, an "ERROR" message will appear on the FST.</t>
  </si>
  <si>
    <t xml:space="preserve">Special Items </t>
  </si>
  <si>
    <t xml:space="preserve">Extraordinary Items </t>
  </si>
  <si>
    <t>TAB 2-Part 2</t>
  </si>
  <si>
    <t>TAB F5.1-Part 1</t>
  </si>
  <si>
    <t>(positive $)</t>
  </si>
  <si>
    <t>Total Investments</t>
  </si>
  <si>
    <t xml:space="preserve">Total Restricted Cash and Cash Equivalents </t>
  </si>
  <si>
    <t xml:space="preserve">Total Restricted Investments </t>
  </si>
  <si>
    <t>Inexhaustible Works of Art/Historical Treasures</t>
  </si>
  <si>
    <t xml:space="preserve">            Nondepreciable:</t>
  </si>
  <si>
    <t xml:space="preserve">            Depreciable:</t>
  </si>
  <si>
    <t>Part 2)  Schedule of Installment Purchase Obligations</t>
  </si>
  <si>
    <t>Restricted Cash Equivalents not held with Treasurer of VA (excludes SNAP)</t>
  </si>
  <si>
    <t>Investments not held with Treasurer of VA (excludes SNAP)</t>
  </si>
  <si>
    <t>Restricted Cash &amp; Cash Eqv.</t>
  </si>
  <si>
    <t>Cash &amp; Cash Equivalents</t>
  </si>
  <si>
    <t>TAB F5.1-Part 2</t>
  </si>
  <si>
    <t>Operating Grants and Contributions</t>
  </si>
  <si>
    <t>Capital Grants and Contributions</t>
  </si>
  <si>
    <t>Asset Backed Securities</t>
  </si>
  <si>
    <t>new line item</t>
  </si>
  <si>
    <r>
      <t xml:space="preserve">If </t>
    </r>
    <r>
      <rPr>
        <b/>
        <sz val="9"/>
        <rFont val="Arial"/>
        <family val="2"/>
      </rPr>
      <t>yes</t>
    </r>
    <r>
      <rPr>
        <sz val="9"/>
        <rFont val="Arial"/>
        <family val="2"/>
      </rPr>
      <t xml:space="preserve"> to previous question, provide a description of the donated inventory.</t>
    </r>
  </si>
  <si>
    <r>
      <t xml:space="preserve">If </t>
    </r>
    <r>
      <rPr>
        <b/>
        <sz val="9"/>
        <rFont val="Arial"/>
        <family val="2"/>
      </rPr>
      <t>yes</t>
    </r>
    <r>
      <rPr>
        <sz val="9"/>
        <rFont val="Arial"/>
        <family val="2"/>
      </rPr>
      <t xml:space="preserve"> to previous question, provide the amount of donated inventory included in the Inventory FST line item.</t>
    </r>
  </si>
  <si>
    <t>Restricted SNAP Individual Portfolio - Investments</t>
  </si>
  <si>
    <r>
      <t xml:space="preserve">Investments </t>
    </r>
    <r>
      <rPr>
        <b/>
        <sz val="10"/>
        <rFont val="Arial"/>
        <family val="2"/>
      </rPr>
      <t>not held</t>
    </r>
    <r>
      <rPr>
        <sz val="10"/>
        <rFont val="Arial"/>
        <family val="2"/>
      </rPr>
      <t xml:space="preserve"> with Treasurer of VA (excludes SNAP)</t>
    </r>
  </si>
  <si>
    <r>
      <t xml:space="preserve">Restricted Investments </t>
    </r>
    <r>
      <rPr>
        <b/>
        <sz val="10"/>
        <rFont val="Arial"/>
        <family val="2"/>
      </rPr>
      <t xml:space="preserve">not held </t>
    </r>
    <r>
      <rPr>
        <sz val="10"/>
        <rFont val="Arial"/>
        <family val="2"/>
      </rPr>
      <t>with Treasurer of VA (excludes SNAP)</t>
    </r>
  </si>
  <si>
    <t>From</t>
  </si>
  <si>
    <t>To</t>
  </si>
  <si>
    <t>Variance check figures</t>
  </si>
  <si>
    <t>Total Construction &amp; Other Commitments</t>
  </si>
  <si>
    <t>Note C:  If an amount is provided for unspent proceeds on debt related to capital assets, do the unspent proceeds on debt exclude investment earnings?  (yes, no, or n/a)</t>
  </si>
  <si>
    <t>Include unspent proceeds on debt related to capital assets (amount should exclude investment earnings - see Note C on page 2)</t>
  </si>
  <si>
    <t>Part 9) Intangible Assets</t>
  </si>
  <si>
    <t>Description/Combining FST line item</t>
  </si>
  <si>
    <t>State Appropriation Revenue - Capital Projects</t>
  </si>
  <si>
    <t>Grants &amp; Contributions not Restricted to Specific Programs</t>
  </si>
  <si>
    <t>Investment Earnings</t>
  </si>
  <si>
    <t>Miscellaneous Revenues</t>
  </si>
  <si>
    <t>Gain on Sale/Disposal/Impairment of Capital Assets</t>
  </si>
  <si>
    <t>Special Items</t>
  </si>
  <si>
    <t>Extraordinary Items</t>
  </si>
  <si>
    <t>FST Line Item</t>
  </si>
  <si>
    <r>
      <t>Part 1</t>
    </r>
    <r>
      <rPr>
        <sz val="10"/>
        <rFont val="Arial"/>
        <family val="2"/>
      </rPr>
      <t>)  Answer the following regarding cash and cash equivalents (including restricted cash and cash equivalents) reported by the foundation(s) as of year-end.</t>
    </r>
  </si>
  <si>
    <t>Note C:  This Total after All Elimination Entries must agree to the Contributions Receivable, Net reported on the FST in the Combined Total column.  If not, an "ERROR" message will appear.  Make corrections as deemed necessary.</t>
  </si>
  <si>
    <t>Applicable to HEI and/or Foundation</t>
  </si>
  <si>
    <t>Notes Payable</t>
  </si>
  <si>
    <t xml:space="preserve">Part 1a)  Comparison of Beginning Balances to Prior Year's Ending Balances: </t>
  </si>
  <si>
    <t>Prior Year's</t>
  </si>
  <si>
    <t>Ending Balance</t>
  </si>
  <si>
    <t>(see Note A)</t>
  </si>
  <si>
    <t>Prior Year's Ending Balance (See Note A)</t>
  </si>
  <si>
    <t>Is an explanation required?</t>
  </si>
  <si>
    <t>Elimination Entries to FST - Combined Total</t>
  </si>
  <si>
    <t>Elimination Entries to the Financial Statement Template (FST)</t>
  </si>
  <si>
    <t>Record in this column the significant elimination entries between the HEI and Foundation(s) that are to the HEI amounts.</t>
  </si>
  <si>
    <r>
      <t xml:space="preserve"> If </t>
    </r>
    <r>
      <rPr>
        <b/>
        <sz val="9"/>
        <rFont val="Arial"/>
        <family val="2"/>
      </rPr>
      <t>yes</t>
    </r>
    <r>
      <rPr>
        <sz val="9"/>
        <rFont val="Arial"/>
        <family val="2"/>
      </rPr>
      <t>, provide the liability amount, a description of the termination benefits, number of employees affected, period of time over which the benefits will be provided, cost of the termination benefits, and the significant methods and assumptions used to determine termination benefit liabilities.</t>
    </r>
  </si>
  <si>
    <t>Are there any contingent liabilities that should be disclosed for the foundation?</t>
  </si>
  <si>
    <t>FST line item</t>
  </si>
  <si>
    <t>a)  Does the HEI have donor-restricted endowments?</t>
  </si>
  <si>
    <t>Financial statement template line item</t>
  </si>
  <si>
    <r>
      <t xml:space="preserve">15j) </t>
    </r>
    <r>
      <rPr>
        <b/>
        <strike/>
        <sz val="9"/>
        <rFont val="Arial"/>
        <family val="2"/>
      </rPr>
      <t>Beginning Net Asset Restatements</t>
    </r>
    <r>
      <rPr>
        <strike/>
        <sz val="9"/>
        <rFont val="Arial"/>
        <family val="2"/>
      </rPr>
      <t xml:space="preserve">:  For any "yes" answers in Parts 15a to 15h, did any transactions occur prior to July 1, 2007 </t>
    </r>
    <r>
      <rPr>
        <b/>
        <strike/>
        <sz val="9"/>
        <rFont val="Arial"/>
        <family val="2"/>
      </rPr>
      <t>and</t>
    </r>
    <r>
      <rPr>
        <strike/>
        <sz val="9"/>
        <rFont val="Arial"/>
        <family val="2"/>
      </rPr>
      <t xml:space="preserve"> requires a beginning net asset restatement?  If yes, provide a description of the transactions.</t>
    </r>
  </si>
  <si>
    <t xml:space="preserve">Part 1)   </t>
  </si>
  <si>
    <t>Charges for Services</t>
  </si>
  <si>
    <t>Note c</t>
  </si>
  <si>
    <t>Check figures - Due Within One Year</t>
  </si>
  <si>
    <t xml:space="preserve">Part 3)  Unearned Revenue </t>
  </si>
  <si>
    <r>
      <t xml:space="preserve">TAB 1A, </t>
    </r>
    <r>
      <rPr>
        <b/>
        <u/>
        <sz val="9"/>
        <rFont val="Arial"/>
        <family val="2"/>
      </rPr>
      <t>GASBS No. 3</t>
    </r>
    <r>
      <rPr>
        <b/>
        <sz val="9"/>
        <rFont val="Arial"/>
        <family val="2"/>
      </rPr>
      <t xml:space="preserve"> for HEI</t>
    </r>
  </si>
  <si>
    <t>Note:  The above information is linked to the FST tab.  If any of the information is incorrect, key in correct information.</t>
  </si>
  <si>
    <t xml:space="preserve">Part 5)  </t>
  </si>
  <si>
    <t>Negotiable Certificates of Deposit</t>
  </si>
  <si>
    <t>Mutual and Money Market Funds</t>
  </si>
  <si>
    <t>are required to prepare and maintain a list of assets acquired under installment purchase obligations for audit by APA.</t>
  </si>
  <si>
    <t xml:space="preserve">         Total Notes Payable</t>
  </si>
  <si>
    <t xml:space="preserve">          Total Bonds Payable</t>
  </si>
  <si>
    <t>Part 1) General</t>
  </si>
  <si>
    <t>Part 2)  Inventory</t>
  </si>
  <si>
    <t>What is the method used to determine value?</t>
  </si>
  <si>
    <t>Extraordinary Items (Provide description:)</t>
  </si>
  <si>
    <t>Special Items (Provide description:)</t>
  </si>
  <si>
    <t xml:space="preserve">Due from Foundation(s) </t>
  </si>
  <si>
    <t>Due from Foundation(s)</t>
  </si>
  <si>
    <t xml:space="preserve">     Investment Earnings</t>
  </si>
  <si>
    <t xml:space="preserve">     Grants &amp; Contributions not Restricted to Specific Programs</t>
  </si>
  <si>
    <t>General Revenues:</t>
  </si>
  <si>
    <r>
      <t>Part 1</t>
    </r>
    <r>
      <rPr>
        <sz val="10"/>
        <rFont val="Arial"/>
        <family val="2"/>
      </rPr>
      <t>)  For</t>
    </r>
    <r>
      <rPr>
        <b/>
        <sz val="10"/>
        <rFont val="Arial"/>
        <family val="2"/>
      </rPr>
      <t xml:space="preserve"> Receivables, Net</t>
    </r>
    <r>
      <rPr>
        <sz val="10"/>
        <rFont val="Arial"/>
        <family val="2"/>
      </rPr>
      <t xml:space="preserve"> reported by the foundations as of year-end, complete the following:</t>
    </r>
  </si>
  <si>
    <t>Record Foundation's Name (See Note A)</t>
  </si>
  <si>
    <t>Local Government Investment Pool</t>
  </si>
  <si>
    <t>Cash Equivalents held with Treasurer of VA (excludes SNAP &amp; LGIP)</t>
  </si>
  <si>
    <t>Cash Equivalents not held with Treasurer of VA (excludes SNAP)</t>
  </si>
  <si>
    <t>Investments held with Treasurer of VA (excludes SNAP)</t>
  </si>
  <si>
    <t>Total Notes Payable</t>
  </si>
  <si>
    <t>Total Bonds Payable</t>
  </si>
  <si>
    <t>Net (Expense) Revenue</t>
  </si>
  <si>
    <t>Accounts Payable - Salaries/Wages</t>
  </si>
  <si>
    <t>Accounts Payable - Retainage Payable</t>
  </si>
  <si>
    <t>Accounts Payable - Other</t>
  </si>
  <si>
    <t>Other Liabilities - Accrued Interest Payable</t>
  </si>
  <si>
    <t>Assets</t>
  </si>
  <si>
    <t>Total Cash and Cash Equivalents</t>
  </si>
  <si>
    <t xml:space="preserve">Total Investments </t>
  </si>
  <si>
    <t>Other</t>
  </si>
  <si>
    <t>Prepaid Items</t>
  </si>
  <si>
    <t>Advances (GASB 33)</t>
  </si>
  <si>
    <t>Other Assets</t>
  </si>
  <si>
    <t>Total Other Assets</t>
  </si>
  <si>
    <t>Enter as negative $</t>
  </si>
  <si>
    <t>Less: Unamortized Discount (positive amount)</t>
  </si>
  <si>
    <t>Total Program Revenues:</t>
  </si>
  <si>
    <t>Statement of Activities</t>
  </si>
  <si>
    <t>Total Liabilities</t>
  </si>
  <si>
    <t>TAB 1A-Part 4c</t>
  </si>
  <si>
    <t>TAB 1A-Part 4b</t>
  </si>
  <si>
    <t>TAB 1A-Part 4d</t>
  </si>
  <si>
    <t xml:space="preserve">Unrestricted </t>
  </si>
  <si>
    <t>Restricted Investments</t>
  </si>
  <si>
    <t>TAB F3, Receivables for Foundation(s)</t>
  </si>
  <si>
    <r>
      <t>Allowance for Doubtful Accounts</t>
    </r>
    <r>
      <rPr>
        <sz val="9"/>
        <rFont val="Arial"/>
        <family val="2"/>
      </rPr>
      <t xml:space="preserve"> (Enter as a positive):</t>
    </r>
  </si>
  <si>
    <r>
      <t>Gross Receivable Amounts</t>
    </r>
    <r>
      <rPr>
        <sz val="9"/>
        <rFont val="Arial"/>
        <family val="2"/>
      </rPr>
      <t xml:space="preserve"> (Enter as a negative amount):</t>
    </r>
  </si>
  <si>
    <t>TAB  2-Part 1</t>
  </si>
  <si>
    <t>TAB F1-Part 2a</t>
  </si>
  <si>
    <t>Cash Equivalents  (DOA Securities Lending AJE)</t>
  </si>
  <si>
    <t>$</t>
  </si>
  <si>
    <t>a.</t>
  </si>
  <si>
    <t>b.</t>
  </si>
  <si>
    <t>Yes, No, or N/A</t>
  </si>
  <si>
    <t>Total Restricted Investments held with Treasurer of VA</t>
  </si>
  <si>
    <r>
      <t>Part 4</t>
    </r>
    <r>
      <rPr>
        <sz val="10"/>
        <rFont val="Arial"/>
        <family val="2"/>
      </rPr>
      <t xml:space="preserve">)  Provide information regarding </t>
    </r>
    <r>
      <rPr>
        <b/>
        <sz val="10"/>
        <rFont val="Arial"/>
        <family val="2"/>
      </rPr>
      <t xml:space="preserve">Installment Purchase Obligation </t>
    </r>
    <r>
      <rPr>
        <sz val="10"/>
        <rFont val="Arial"/>
        <family val="2"/>
      </rPr>
      <t>amounts as of year-end reported by the foundation(s).</t>
    </r>
  </si>
  <si>
    <t>Inexhaustible Works of Art and  / or Historical Treasures</t>
  </si>
  <si>
    <t>Depreciable Works of Art and  / or   Historical Treasures</t>
  </si>
  <si>
    <t xml:space="preserve"> Depreciable Works of Art and  / or Historical Treasures</t>
  </si>
  <si>
    <t>Depreciable Works of Art and  / or Historical Treasures</t>
  </si>
  <si>
    <t>Combining FST line item (drop-down list)</t>
  </si>
  <si>
    <t>Elimination Entries on the Combining FST</t>
  </si>
  <si>
    <t>Note B:  The Elimination Entries on the Elimination Entries to FST Total must agree to the elimination entries to the Investments plus Restricted Investment line items reported on the Elimination Entries to FST for the foundations.  If not, an "ERROR" message will appear.  Make corrections as deemed necessary.</t>
  </si>
  <si>
    <t>Total Installment Purchase Obligations</t>
  </si>
  <si>
    <t>Due from Higher Education Institution</t>
  </si>
  <si>
    <t>Due to Foundation(s)</t>
  </si>
  <si>
    <t xml:space="preserve">Payments/Support to Foundation(s) </t>
  </si>
  <si>
    <t>TAB F3-Part 2</t>
  </si>
  <si>
    <t>3)</t>
  </si>
  <si>
    <t>4)</t>
  </si>
  <si>
    <t>5)</t>
  </si>
  <si>
    <t>6)</t>
  </si>
  <si>
    <t>7)</t>
  </si>
  <si>
    <t xml:space="preserve">Foundation(s) - Accounts Payable </t>
  </si>
  <si>
    <t>TAB F2, SNAP and LGIP for Foundation(s)</t>
  </si>
  <si>
    <t>Record in this column the significant elimination entries between the HEI and Foundation(s) that are to the Foundation(s) amounts.</t>
  </si>
  <si>
    <t>Part 2)</t>
  </si>
  <si>
    <t>Part 3)</t>
  </si>
  <si>
    <t>c.</t>
  </si>
  <si>
    <t>d.</t>
  </si>
  <si>
    <t xml:space="preserve">     State appropriation revenue - capital projects</t>
  </si>
  <si>
    <t>Capital Contributions from Treasury (VPBA)</t>
  </si>
  <si>
    <t>Must agree to Att. HE-8</t>
  </si>
  <si>
    <t xml:space="preserve">  Grants &amp; Contributions not Restricted to Specific Programs</t>
  </si>
  <si>
    <t xml:space="preserve">  Investment Earnings</t>
  </si>
  <si>
    <t xml:space="preserve">  Miscellaneous Revenues</t>
  </si>
  <si>
    <t xml:space="preserve">  Gain on Sale/Disposal/Impairment of Capital Assets</t>
  </si>
  <si>
    <t xml:space="preserve">  State Appropriation Revenue/Other Funding from the Commonwealth/VCBA:</t>
  </si>
  <si>
    <t>Appropriations Available/Due from Primary Government/VCBA:</t>
  </si>
  <si>
    <t>TAB</t>
  </si>
  <si>
    <t>2)</t>
  </si>
  <si>
    <t>Total After Elimination Entries</t>
  </si>
  <si>
    <t>TAB F8, Intrafund Balance/Activity Information</t>
  </si>
  <si>
    <r>
      <t xml:space="preserve">This TAB must be completed for those foundations that meet </t>
    </r>
    <r>
      <rPr>
        <b/>
        <u/>
        <sz val="10"/>
        <rFont val="Arial"/>
        <family val="2"/>
      </rPr>
      <t>both</t>
    </r>
    <r>
      <rPr>
        <b/>
        <sz val="10"/>
        <rFont val="Arial"/>
        <family val="2"/>
      </rPr>
      <t xml:space="preserve"> of the following conditions.</t>
    </r>
  </si>
  <si>
    <t xml:space="preserve">       there is significant intrafund balance/activity amounts between the foundations that cannot be eliminated because of different year-ends.</t>
  </si>
  <si>
    <t>Combining FST line item</t>
  </si>
  <si>
    <t>Variance check figures (b less c)</t>
  </si>
  <si>
    <r>
      <t>Elimination Entries to Foundation(s)</t>
    </r>
    <r>
      <rPr>
        <sz val="9"/>
        <rFont val="Arial"/>
        <family val="2"/>
      </rPr>
      <t xml:space="preserve"> Year-End Totals</t>
    </r>
  </si>
  <si>
    <t>b) If yes to a), what was the amount contributed to the plan during the year?</t>
  </si>
  <si>
    <t>a) Does the foundation have a defined contribution retirement plan (403(b)) for their full-time  employees?</t>
  </si>
  <si>
    <t>b) Provide the name of the plan.</t>
  </si>
  <si>
    <t>c) Provide the required contribution percent by the foundation.</t>
  </si>
  <si>
    <t>f) Provide the type of plan.</t>
  </si>
  <si>
    <r>
      <t>Part 1</t>
    </r>
    <r>
      <rPr>
        <sz val="10"/>
        <rFont val="Arial"/>
        <family val="2"/>
      </rPr>
      <t xml:space="preserve">)  Provide information regarding </t>
    </r>
    <r>
      <rPr>
        <b/>
        <sz val="10"/>
        <rFont val="Arial"/>
        <family val="2"/>
      </rPr>
      <t>Notes Payable</t>
    </r>
    <r>
      <rPr>
        <sz val="10"/>
        <rFont val="Arial"/>
        <family val="2"/>
      </rPr>
      <t xml:space="preserve"> amounts as of year-end reported by the foundation(s).</t>
    </r>
  </si>
  <si>
    <r>
      <t xml:space="preserve">Part 1) </t>
    </r>
    <r>
      <rPr>
        <sz val="10"/>
        <rFont val="Arial"/>
        <family val="2"/>
      </rPr>
      <t xml:space="preserve"> Provide future </t>
    </r>
    <r>
      <rPr>
        <b/>
        <sz val="10"/>
        <rFont val="Arial"/>
        <family val="2"/>
      </rPr>
      <t>Notes Payable</t>
    </r>
    <r>
      <rPr>
        <sz val="10"/>
        <rFont val="Arial"/>
        <family val="2"/>
      </rPr>
      <t xml:space="preserve"> payments reported by the foundation(s) as of year-end.  </t>
    </r>
  </si>
  <si>
    <r>
      <t xml:space="preserve">Part 2) </t>
    </r>
    <r>
      <rPr>
        <sz val="10"/>
        <rFont val="Arial"/>
        <family val="2"/>
      </rPr>
      <t xml:space="preserve"> Provide future </t>
    </r>
    <r>
      <rPr>
        <b/>
        <sz val="10"/>
        <rFont val="Arial"/>
        <family val="2"/>
      </rPr>
      <t>Bonds Payable</t>
    </r>
    <r>
      <rPr>
        <sz val="10"/>
        <rFont val="Arial"/>
        <family val="2"/>
      </rPr>
      <t xml:space="preserve"> payments reported by the foundation(s) as of year-end.  </t>
    </r>
  </si>
  <si>
    <r>
      <t xml:space="preserve">Part 2) Complete the following for </t>
    </r>
    <r>
      <rPr>
        <b/>
        <sz val="10"/>
        <rFont val="Arial"/>
        <family val="2"/>
      </rPr>
      <t xml:space="preserve">Long-Term Liabilities - Bond Anticipation Notes Payable (BANS) </t>
    </r>
    <r>
      <rPr>
        <sz val="10"/>
        <rFont val="Arial"/>
        <family val="2"/>
      </rPr>
      <t>amounts as of year-end.</t>
    </r>
  </si>
  <si>
    <t>TAB F9-Part 1</t>
  </si>
  <si>
    <t>TAB F9-Part 2</t>
  </si>
  <si>
    <r>
      <t xml:space="preserve">**Provide a description of </t>
    </r>
    <r>
      <rPr>
        <b/>
        <sz val="9"/>
        <rFont val="Arial"/>
        <family val="2"/>
      </rPr>
      <t xml:space="preserve">Claims Payable </t>
    </r>
    <r>
      <rPr>
        <sz val="9"/>
        <rFont val="Arial"/>
        <family val="2"/>
      </rPr>
      <t>(i.e. self-insurance program for health benefits)</t>
    </r>
  </si>
  <si>
    <r>
      <t xml:space="preserve">If </t>
    </r>
    <r>
      <rPr>
        <b/>
        <sz val="10"/>
        <rFont val="Arial"/>
        <family val="2"/>
      </rPr>
      <t>both</t>
    </r>
    <r>
      <rPr>
        <sz val="10"/>
        <rFont val="Arial"/>
        <family val="2"/>
      </rPr>
      <t xml:space="preserve"> of the above conditions are met, </t>
    </r>
    <r>
      <rPr>
        <b/>
        <sz val="10"/>
        <rFont val="Arial"/>
        <family val="2"/>
      </rPr>
      <t xml:space="preserve">complete the applicable Parts 1 and 2 </t>
    </r>
    <r>
      <rPr>
        <sz val="10"/>
        <rFont val="Arial"/>
        <family val="2"/>
      </rPr>
      <t xml:space="preserve">to provide the Combining FST and FST line items and amounts that represent significant </t>
    </r>
  </si>
  <si>
    <t>If yes, provide the line item and amount of the insurance recoveries.</t>
  </si>
  <si>
    <t>Unearned Revenue</t>
  </si>
  <si>
    <t>Informational</t>
  </si>
  <si>
    <t>$ per FST</t>
  </si>
  <si>
    <t>HEI Elimination Entries</t>
  </si>
  <si>
    <t>Total Capital Assets (linked)</t>
  </si>
  <si>
    <t>Long-term debt related to capital assets (linked):</t>
  </si>
  <si>
    <t xml:space="preserve">  Notes Payable (linked)</t>
  </si>
  <si>
    <t xml:space="preserve">  Bonds Payable (linked)</t>
  </si>
  <si>
    <t xml:space="preserve">  Installment Purchase Obligations (linked)</t>
  </si>
  <si>
    <t>Other:  Record as a positive for HEI column &amp; negative for HEI Elimination Entries column</t>
  </si>
  <si>
    <t>Exclude debt that is not related to capital assets</t>
  </si>
  <si>
    <t>Other:  Provide descriptions</t>
  </si>
  <si>
    <t xml:space="preserve">Installment Purchases </t>
  </si>
  <si>
    <t>Compensated Absences</t>
  </si>
  <si>
    <t>Insurance Recovery $ included in net impairment gain/(loss) calculation (record as a positive &amp; see Note a)</t>
  </si>
  <si>
    <t>Net Gain/(Loss) on Impairment</t>
  </si>
  <si>
    <t>TAB F4, Capital Assets for Foundation(s)</t>
  </si>
  <si>
    <r>
      <t>Part 3</t>
    </r>
    <r>
      <rPr>
        <sz val="10"/>
        <rFont val="Arial"/>
        <family val="2"/>
      </rPr>
      <t xml:space="preserve">)  Provide information regarding </t>
    </r>
    <r>
      <rPr>
        <b/>
        <sz val="10"/>
        <rFont val="Arial"/>
        <family val="2"/>
      </rPr>
      <t>Capital Lease Obligation</t>
    </r>
    <r>
      <rPr>
        <sz val="10"/>
        <rFont val="Arial"/>
        <family val="2"/>
      </rPr>
      <t xml:space="preserve"> amounts as of year-end reported by the foundation(s).</t>
    </r>
  </si>
  <si>
    <t>TAB F5, Long-Term Liabilities for Foundation(s)</t>
  </si>
  <si>
    <t>TAB F5.1, Long-Term Liabilities for Foundation(s)</t>
  </si>
  <si>
    <t>TAB F6, Commitments for Foundation(s)</t>
  </si>
  <si>
    <t>Amount</t>
  </si>
  <si>
    <t>a)  Are cash equivalents defined as investments with an original maturity of ninety days or less?</t>
  </si>
  <si>
    <t>TAB F1,  Cash, Cash Equivalents, and Investments for Foundation(s)</t>
  </si>
  <si>
    <t>LT Liabilities: Due in More Than One Year - Other Liabilities</t>
  </si>
  <si>
    <t>Program Revenue - Charges for Services</t>
  </si>
  <si>
    <r>
      <t xml:space="preserve">If yes, </t>
    </r>
    <r>
      <rPr>
        <sz val="10"/>
        <rFont val="Arial"/>
        <family val="2"/>
      </rPr>
      <t xml:space="preserve"> complete TAB F2, SNAP &amp; LGIP, Part 2.</t>
    </r>
  </si>
  <si>
    <t>e) Does the foundation have other retirement plans for the full-time employees?</t>
  </si>
  <si>
    <t>Total After all Elimination Entries</t>
  </si>
  <si>
    <t xml:space="preserve">Note A:  This Total Receivables, Net must agree to the Receivables, Net reported on the Combining FST tab.  If not, an "ERROR" message will appear.  Make corrections as deemed necessary.  </t>
  </si>
  <si>
    <t xml:space="preserve">Note A </t>
  </si>
  <si>
    <t>The Combined Total amounts for the intrafund to/from line items should be zero after all amounts, including elimination entries, have been entered.</t>
  </si>
  <si>
    <t>Retainage Payable</t>
  </si>
  <si>
    <t xml:space="preserve">Accounts Payable </t>
  </si>
  <si>
    <t xml:space="preserve">Advance from the Treasurer of Virginia </t>
  </si>
  <si>
    <t xml:space="preserve">Any significant intrafund balance/activity amounts among the HEI and other entities included in this column must </t>
  </si>
  <si>
    <t>intrafund balance/activity amounts that have not been eliminated.</t>
  </si>
  <si>
    <t>Note C:  This Total after All Elimination Entries must agree to the Receivables, Net line item reported on the FST in the Foundation(s) column plus the Elimination Entries to FST in the Foundation(s) column.  If not, an "ERROR" message will appear.  Make corrections as deemed necessary.</t>
  </si>
  <si>
    <t>Include short-term debt that is related to capital assets</t>
  </si>
  <si>
    <t xml:space="preserve">    Other Liabilities subtotal</t>
  </si>
  <si>
    <t>TAB 5-Part 1/TAB 9</t>
  </si>
  <si>
    <t>TAB 5-Part 1/TABs 8 &amp; 9</t>
  </si>
  <si>
    <t>TAB 8/TAB 9</t>
  </si>
  <si>
    <t>TAB 9</t>
  </si>
  <si>
    <t>HEI eliminations</t>
  </si>
  <si>
    <t xml:space="preserve">Elimination Entries on the Combining FST </t>
  </si>
  <si>
    <t>Elimination Entries on the Elimination Entries to FST</t>
  </si>
  <si>
    <t>Drop-down list-LGIP:</t>
  </si>
  <si>
    <t>Drop-down list-SNAP</t>
  </si>
  <si>
    <t xml:space="preserve">     Other Intangibles</t>
  </si>
  <si>
    <t>Intangible Assets:</t>
  </si>
  <si>
    <r>
      <t>Instructions:  Part 1</t>
    </r>
    <r>
      <rPr>
        <sz val="9"/>
        <rFont val="Arial"/>
        <family val="2"/>
      </rPr>
      <t xml:space="preserve"> must be completed for foundation(s) that have amounts reported on the cash and </t>
    </r>
  </si>
  <si>
    <t>Financial Statement Template line item:</t>
  </si>
  <si>
    <t>Program Revenue - Operating Grants and Contributions</t>
  </si>
  <si>
    <r>
      <t xml:space="preserve">B) </t>
    </r>
    <r>
      <rPr>
        <b/>
        <sz val="8"/>
        <rFont val="Arial"/>
        <family val="2"/>
      </rPr>
      <t>Impairment Test</t>
    </r>
    <r>
      <rPr>
        <sz val="8"/>
        <rFont val="Arial"/>
        <family val="2"/>
      </rPr>
      <t>:  If yes to A, are the following two factors present:</t>
    </r>
  </si>
  <si>
    <r>
      <t xml:space="preserve">C) </t>
    </r>
    <r>
      <rPr>
        <b/>
        <sz val="8"/>
        <rFont val="Arial"/>
        <family val="2"/>
      </rPr>
      <t>Permanent Impairment</t>
    </r>
    <r>
      <rPr>
        <sz val="8"/>
        <rFont val="Arial"/>
        <family val="2"/>
      </rPr>
      <t>:  If yes to A and B, is this considered a permanent impairment?</t>
    </r>
  </si>
  <si>
    <t>Provide a description of the insurance recoveries.</t>
  </si>
  <si>
    <t>Total Restricted Cash and Cash Equivalents</t>
  </si>
  <si>
    <t>Total Restricted Investments</t>
  </si>
  <si>
    <t>Endowment Obligations</t>
  </si>
  <si>
    <t>Contractual Obligations</t>
  </si>
  <si>
    <t xml:space="preserve">Other </t>
  </si>
  <si>
    <t>Endowment &amp; Contractual Obligations</t>
  </si>
  <si>
    <t xml:space="preserve">Restricted Investments </t>
  </si>
  <si>
    <t xml:space="preserve">Restricted Cash and Cash Equivalents  </t>
  </si>
  <si>
    <t xml:space="preserve">1) HEI is compelled to take remediation action because pollution creates an imminent endangerment to public health or welfare or the environment, leaving it little or no discretion to avoid remediation action.  </t>
  </si>
  <si>
    <t>2) HEI is in violation of a pollution prevention-related permit or license, such as a Resource Conservation and Recovery Act permit or similar permits under state law.</t>
  </si>
  <si>
    <t>Total general revenues, transfers, and other items</t>
  </si>
  <si>
    <t>Long-Term Liabilities:</t>
  </si>
  <si>
    <t>Provide the capitalization criteria for capital assets:</t>
  </si>
  <si>
    <t>LT Liabilities: Due Within One Year - Other Liabilities</t>
  </si>
  <si>
    <t>Note A</t>
  </si>
  <si>
    <t>Note B</t>
  </si>
  <si>
    <r>
      <t>Part 2b</t>
    </r>
    <r>
      <rPr>
        <strike/>
        <sz val="10"/>
        <rFont val="Arial"/>
        <family val="2"/>
      </rPr>
      <t>)  Answer the following:  Were any of the above investments reported at cost rather than fair value because fair value was not readily available or easily determinable?  (yes or no)</t>
    </r>
  </si>
  <si>
    <r>
      <t>Part 2c</t>
    </r>
    <r>
      <rPr>
        <strike/>
        <sz val="10"/>
        <rFont val="Arial"/>
        <family val="2"/>
      </rPr>
      <t>)  Record the investments (including restricted investments) that are reported in Part 2a at cost as of year-end.</t>
    </r>
  </si>
  <si>
    <t>Expenses-Loss on Sale/Disposal/Impairment of Capital Assets</t>
  </si>
  <si>
    <t xml:space="preserve">     Gain on Sale/Disposal/Impairment of Capital Assets</t>
  </si>
  <si>
    <t>Loss on Sale/Disposal/Impairment of Capital Assets</t>
  </si>
  <si>
    <t>Gain on Sale/Disposal/Impairment of Capital Assets (see Note b)</t>
  </si>
  <si>
    <t>Program Revenue - Capital Grants and Contributions</t>
  </si>
  <si>
    <t>Reported Amounts</t>
  </si>
  <si>
    <r>
      <t xml:space="preserve">Cash </t>
    </r>
    <r>
      <rPr>
        <b/>
        <sz val="10"/>
        <rFont val="Arial"/>
        <family val="2"/>
      </rPr>
      <t>not held</t>
    </r>
    <r>
      <rPr>
        <sz val="10"/>
        <rFont val="Arial"/>
        <family val="2"/>
      </rPr>
      <t xml:space="preserve"> with Treasurer of VA</t>
    </r>
  </si>
  <si>
    <t>linked</t>
  </si>
  <si>
    <t>See Note D</t>
  </si>
  <si>
    <t>LT Liabilities: Due Within One Year - Bonds Payable</t>
  </si>
  <si>
    <t>LT Liabilities: Due Within One Year - Bond Anticipation Notes Payable</t>
  </si>
  <si>
    <t>LT Liabilities: Due Within One Year - Installment Purchases</t>
  </si>
  <si>
    <t xml:space="preserve">       Total Accumulated Depreciation</t>
  </si>
  <si>
    <t xml:space="preserve">   </t>
  </si>
  <si>
    <t xml:space="preserve">   Total Capital Assets, Net</t>
  </si>
  <si>
    <t xml:space="preserve">     Historical Treasures</t>
  </si>
  <si>
    <t>Improvements Other than Buildings</t>
  </si>
  <si>
    <t>Other Insurance Recoveries $</t>
  </si>
  <si>
    <r>
      <t xml:space="preserve">a)  Provide an amount and description of what is included in the </t>
    </r>
    <r>
      <rPr>
        <b/>
        <sz val="9"/>
        <rFont val="Arial"/>
        <family val="2"/>
      </rPr>
      <t>Other Assets</t>
    </r>
    <r>
      <rPr>
        <sz val="9"/>
        <rFont val="Arial"/>
        <family val="2"/>
      </rPr>
      <t xml:space="preserve"> line item.</t>
    </r>
  </si>
  <si>
    <r>
      <t xml:space="preserve">b)  Provide an amount and description of what is included in the </t>
    </r>
    <r>
      <rPr>
        <b/>
        <sz val="9"/>
        <rFont val="Arial"/>
        <family val="2"/>
      </rPr>
      <t>Other Restricted Assets</t>
    </r>
    <r>
      <rPr>
        <sz val="9"/>
        <rFont val="Arial"/>
        <family val="2"/>
      </rPr>
      <t xml:space="preserve"> line item.</t>
    </r>
  </si>
  <si>
    <t>Question</t>
  </si>
  <si>
    <t>Part 7) Retirement Plans for the Foundation Employees</t>
  </si>
  <si>
    <t>Maturity</t>
  </si>
  <si>
    <t>Less: Unamortized Discount (negative amount)</t>
  </si>
  <si>
    <t>Notes Payable  (Pooled Bonds)</t>
  </si>
  <si>
    <t>%</t>
  </si>
  <si>
    <t xml:space="preserve">Installment purchases are financing agreements to acquire assets for which title passes immediately to the institution. </t>
  </si>
  <si>
    <t>Part 1)  Schedule of Changes in Capital Assets</t>
  </si>
  <si>
    <t>If no, provide the institution's capitalization policy below:</t>
  </si>
  <si>
    <t>Capital Asset Capitalization Policy:</t>
  </si>
  <si>
    <t>Depreciable Works of Art/Historical Treasures</t>
  </si>
  <si>
    <t xml:space="preserve"> Provide the estimated lives of capital assets:</t>
  </si>
  <si>
    <t xml:space="preserve">Issuances and Other Increases (negative $) </t>
  </si>
  <si>
    <t>Retirements and Other Decreases (positive $)</t>
  </si>
  <si>
    <t>Due Within One Year (negative $)</t>
  </si>
  <si>
    <t xml:space="preserve">          Total (Note B)</t>
  </si>
  <si>
    <r>
      <t>Provide a description and amount of what is included in the</t>
    </r>
    <r>
      <rPr>
        <b/>
        <sz val="10"/>
        <rFont val="Arial"/>
        <family val="2"/>
      </rPr>
      <t xml:space="preserve"> Other Liabilities</t>
    </r>
    <r>
      <rPr>
        <sz val="10"/>
        <rFont val="Arial"/>
        <family val="2"/>
      </rPr>
      <t xml:space="preserve"> line item.</t>
    </r>
  </si>
  <si>
    <r>
      <t xml:space="preserve">Part 2)  </t>
    </r>
    <r>
      <rPr>
        <b/>
        <sz val="9"/>
        <rFont val="Arial"/>
        <family val="2"/>
      </rPr>
      <t>Elimination Entries</t>
    </r>
    <r>
      <rPr>
        <sz val="9"/>
        <rFont val="Arial"/>
        <family val="2"/>
      </rPr>
      <t xml:space="preserve"> - Provide the elimination entries that are needed to the footnote disclosure reported in Part 1 that are recorded on the Elimination Entries to FST tab for the HEI amounts.</t>
    </r>
  </si>
  <si>
    <r>
      <t>Note C</t>
    </r>
    <r>
      <rPr>
        <sz val="9"/>
        <rFont val="Arial"/>
        <family val="2"/>
      </rPr>
      <t>:  The Foundation(s) Year-End Totals column on the FST tab is linked to this column.</t>
    </r>
  </si>
  <si>
    <t>Record Foundation's Year-End Date</t>
  </si>
  <si>
    <r>
      <t>Note B</t>
    </r>
    <r>
      <rPr>
        <sz val="9"/>
        <rFont val="Arial"/>
        <family val="2"/>
      </rPr>
      <t>:  The "</t>
    </r>
    <r>
      <rPr>
        <b/>
        <sz val="9"/>
        <rFont val="Arial"/>
        <family val="2"/>
      </rPr>
      <t>Elimination Entries</t>
    </r>
    <r>
      <rPr>
        <sz val="9"/>
        <rFont val="Arial"/>
        <family val="2"/>
      </rPr>
      <t>" column should be used to eliminate significant intrafund balance/activity amounts between the foundations on this tab.</t>
    </r>
  </si>
  <si>
    <t>Description</t>
  </si>
  <si>
    <t>A)  Footnote Disclosure:  Does the institution have any idle capital assets at year-end that are temporarily or permanently impaired?</t>
  </si>
  <si>
    <t>Permanently Impaired Capital Assets</t>
  </si>
  <si>
    <t>Temporarily Impaired Capital Assets</t>
  </si>
  <si>
    <t>Construction commitments at year-end (unperformed portion of construction contracts)</t>
  </si>
  <si>
    <t>Others:  (Provide Description)</t>
  </si>
  <si>
    <t>yes</t>
  </si>
  <si>
    <t>no</t>
  </si>
  <si>
    <t>variance check figure</t>
  </si>
  <si>
    <t>Variance check figure:</t>
  </si>
  <si>
    <t xml:space="preserve">Loans/Mortgage Receivable </t>
  </si>
  <si>
    <t xml:space="preserve">Interest Receivable </t>
  </si>
  <si>
    <t>Interest Receivable</t>
  </si>
  <si>
    <t xml:space="preserve">Variance </t>
  </si>
  <si>
    <t>Variance check figures:</t>
  </si>
  <si>
    <t>Part 1)  Schedule of Changes in Long-Term Liabilities and Claims Payable</t>
  </si>
  <si>
    <t>Claims Payable</t>
  </si>
  <si>
    <t>Variance  check figures - Due Within One Year</t>
  </si>
  <si>
    <t xml:space="preserve">Total Due from Component Units (VCBA) </t>
  </si>
  <si>
    <t>Total State Appropriation Revenue: Operating</t>
  </si>
  <si>
    <t xml:space="preserve">be reported net of the associated insurance recovery.  </t>
  </si>
  <si>
    <t>Investments</t>
  </si>
  <si>
    <r>
      <t xml:space="preserve">         Is the decline in service utility of the capital asset significant </t>
    </r>
    <r>
      <rPr>
        <b/>
        <sz val="8"/>
        <rFont val="Arial"/>
        <family val="2"/>
      </rPr>
      <t>and</t>
    </r>
    <r>
      <rPr>
        <sz val="8"/>
        <rFont val="Arial"/>
        <family val="2"/>
      </rPr>
      <t xml:space="preserve"> unexpected?</t>
    </r>
  </si>
  <si>
    <t>Financial Statement Template line item</t>
  </si>
  <si>
    <t>Receivable due in less than one year</t>
  </si>
  <si>
    <t>Receivable due between one and five years</t>
  </si>
  <si>
    <t>Receivable due in more than five years</t>
  </si>
  <si>
    <t>Less: Allowance for Uncollectible Contributions (negative $)</t>
  </si>
  <si>
    <t>Provide the discount rate used to determine present value.</t>
  </si>
  <si>
    <t>Accounts Receivable</t>
  </si>
  <si>
    <t>Less: Allowance for Receivables (negative $)</t>
  </si>
  <si>
    <t>Foundation</t>
  </si>
  <si>
    <r>
      <t xml:space="preserve">b)  Provide an amount and description of what is included in the </t>
    </r>
    <r>
      <rPr>
        <b/>
        <sz val="9"/>
        <rFont val="Arial"/>
        <family val="2"/>
      </rPr>
      <t>Accounts Payable - Other</t>
    </r>
    <r>
      <rPr>
        <sz val="9"/>
        <rFont val="Arial"/>
        <family val="2"/>
      </rPr>
      <t xml:space="preserve">  line item.</t>
    </r>
  </si>
  <si>
    <r>
      <t xml:space="preserve">a)  Provide an amount and description of what is included in the </t>
    </r>
    <r>
      <rPr>
        <b/>
        <sz val="9"/>
        <rFont val="Arial"/>
        <family val="2"/>
      </rPr>
      <t>Other Liabilities</t>
    </r>
    <r>
      <rPr>
        <sz val="9"/>
        <rFont val="Arial"/>
        <family val="2"/>
      </rPr>
      <t xml:space="preserve"> line item.</t>
    </r>
  </si>
  <si>
    <r>
      <t>Notes Payable (Other than for Pooled Bonds)  *</t>
    </r>
    <r>
      <rPr>
        <b/>
        <sz val="9"/>
        <rFont val="Arial"/>
        <family val="2"/>
      </rPr>
      <t>Provide description on next page.</t>
    </r>
  </si>
  <si>
    <t>Installment Purchases</t>
  </si>
  <si>
    <t>Infrastructure-Historical Approach</t>
  </si>
  <si>
    <t>Equipment</t>
  </si>
  <si>
    <t>Library Books</t>
  </si>
  <si>
    <t>Total Assets</t>
  </si>
  <si>
    <t>Liabilities</t>
  </si>
  <si>
    <t>Due to Primary Government</t>
  </si>
  <si>
    <t>Due to Component Units</t>
  </si>
  <si>
    <t>Part 1b)  If yes to 1a, list below:</t>
  </si>
  <si>
    <t>Net Depreciable Capital Assets</t>
  </si>
  <si>
    <t>drop-down lists:</t>
  </si>
  <si>
    <r>
      <t xml:space="preserve">investment line items.   </t>
    </r>
    <r>
      <rPr>
        <b/>
        <sz val="9"/>
        <rFont val="Arial"/>
        <family val="2"/>
      </rPr>
      <t xml:space="preserve">Part 3  </t>
    </r>
    <r>
      <rPr>
        <sz val="9"/>
        <rFont val="Arial"/>
        <family val="2"/>
      </rPr>
      <t xml:space="preserve">must be completed for </t>
    </r>
    <r>
      <rPr>
        <b/>
        <sz val="9"/>
        <rFont val="Arial"/>
        <family val="2"/>
      </rPr>
      <t>all</t>
    </r>
    <r>
      <rPr>
        <sz val="9"/>
        <rFont val="Arial"/>
        <family val="2"/>
      </rPr>
      <t xml:space="preserve"> foundation(s).</t>
    </r>
  </si>
  <si>
    <t xml:space="preserve">Note A:  The Total for each foundation, the Subtotal, and the Elimination Entries on the Combining FST total must agree to the applicable totals for the Investments plus Restricted Investments reported on the Combining FST tab.  If not, an "ERROR" message will appear.  Make corrections as deemed necessary. </t>
  </si>
  <si>
    <t xml:space="preserve">  Bond Anticipation Notes Payable (linked)</t>
  </si>
  <si>
    <t>g) Provide the name of the plan.</t>
  </si>
  <si>
    <t>h) Provide the required contribution percent by the foundation.</t>
  </si>
  <si>
    <t>b)  Are there any significant intrafund balance/activity amounts among the foundations reported on the Combining FST that are not eliminated because the foundations have different year-ends?</t>
  </si>
  <si>
    <t>8)</t>
  </si>
  <si>
    <t>9)</t>
  </si>
  <si>
    <t>10)</t>
  </si>
  <si>
    <t>TAB F3-Part 1</t>
  </si>
  <si>
    <t>Elimination Entries</t>
  </si>
  <si>
    <t>Foundation(s) Year-End Totals</t>
  </si>
  <si>
    <t>Restricted Investments held with Treasurer of VA (excludes SNAP)</t>
  </si>
  <si>
    <t>Cash Equivalents held with Treasurer of VA (excludes SNAP &amp; LGIP):</t>
  </si>
  <si>
    <t>Investments held with Treasurer of VA (excludes SNAP):</t>
  </si>
  <si>
    <t>Restricted Investments held with Treasurer of VA (excludes SNAP):</t>
  </si>
  <si>
    <t>Decrease in Split-Interest Agreements</t>
  </si>
  <si>
    <t xml:space="preserve">Investments </t>
  </si>
  <si>
    <t xml:space="preserve">Contributions Receivable, Net </t>
  </si>
  <si>
    <t xml:space="preserve">Due from Higher Education Institution </t>
  </si>
  <si>
    <t>Restricted Cash and Cash Equivalents</t>
  </si>
  <si>
    <t>Foundations</t>
  </si>
  <si>
    <t>Appropriations Available - Capital Projects</t>
  </si>
  <si>
    <t>Totals</t>
  </si>
  <si>
    <t xml:space="preserve">Notes Payable </t>
  </si>
  <si>
    <t>Impairment loss $ (record as a negative)</t>
  </si>
  <si>
    <t>Accounts Payable - Vendor Payments</t>
  </si>
  <si>
    <r>
      <t xml:space="preserve">For </t>
    </r>
    <r>
      <rPr>
        <b/>
        <sz val="10"/>
        <rFont val="Arial"/>
        <family val="2"/>
      </rPr>
      <t>Restricted State Non-Arbitrage Program (SNAP) Funds</t>
    </r>
    <r>
      <rPr>
        <sz val="10"/>
        <rFont val="Arial"/>
        <family val="2"/>
      </rPr>
      <t>,  provide the following:</t>
    </r>
  </si>
  <si>
    <t>FST</t>
  </si>
  <si>
    <t xml:space="preserve">TAB 2, Receivables </t>
  </si>
  <si>
    <t>Loans Payable to Primary Government</t>
  </si>
  <si>
    <t>Loans Payable to Component Units</t>
  </si>
  <si>
    <t>Amounts Due Within One Year:</t>
  </si>
  <si>
    <t>Other Liabilities</t>
  </si>
  <si>
    <t>Amounts Due in More Than One Year:</t>
  </si>
  <si>
    <t>Restricted for:</t>
  </si>
  <si>
    <t>Nonexpendable:</t>
  </si>
  <si>
    <t>Expendable:</t>
  </si>
  <si>
    <t>Receivables, Net</t>
  </si>
  <si>
    <t>Inventory</t>
  </si>
  <si>
    <t xml:space="preserve">      Total Receivables, Gross</t>
  </si>
  <si>
    <t xml:space="preserve">       Total Allowance for Doubtful Accounts</t>
  </si>
  <si>
    <t xml:space="preserve">       Total Receivables, Net</t>
  </si>
  <si>
    <t>Institution Name:</t>
  </si>
  <si>
    <t>Institution Contact Name:</t>
  </si>
  <si>
    <r>
      <t>Allowance for Doubtful Accounts</t>
    </r>
    <r>
      <rPr>
        <sz val="9"/>
        <rFont val="Arial"/>
        <family val="2"/>
      </rPr>
      <t xml:space="preserve"> (Enter as a negative):</t>
    </r>
  </si>
  <si>
    <t>Institution Contact Phone Number:</t>
  </si>
  <si>
    <t>Institution Contact E-mail Address:</t>
  </si>
  <si>
    <t>Date Completed:</t>
  </si>
  <si>
    <t>FIFO</t>
  </si>
  <si>
    <r>
      <t xml:space="preserve">D) </t>
    </r>
    <r>
      <rPr>
        <b/>
        <sz val="8"/>
        <rFont val="Arial"/>
        <family val="2"/>
      </rPr>
      <t>Financial Statement Template (FST) Reporting &amp; Footnote Disclosure</t>
    </r>
    <r>
      <rPr>
        <sz val="8"/>
        <rFont val="Arial"/>
        <family val="2"/>
      </rPr>
      <t>:  If yes to A, B, and C, has the impairment loss</t>
    </r>
  </si>
  <si>
    <t xml:space="preserve">5) HEI commences, or legally obligates itself to commence, cleanup activities or monitoring or operation and maintenance of the remediation effort.  If these activities are voluntarily commenced and none of the other obligating events have occurred relative to the entire site, the amount recognized should be based on the portion of the remediation project that the HEI has initiated and is legally required to complete. </t>
  </si>
  <si>
    <t xml:space="preserve">  </t>
  </si>
  <si>
    <t>c)  What is the year-end deferred compensation liability amount reported on the FST?</t>
  </si>
  <si>
    <r>
      <t>Part 2</t>
    </r>
    <r>
      <rPr>
        <sz val="10"/>
        <rFont val="Arial"/>
        <family val="2"/>
      </rPr>
      <t xml:space="preserve">) Provide the account numbers and year-end balances for amounts invested in the </t>
    </r>
    <r>
      <rPr>
        <b/>
        <sz val="10"/>
        <rFont val="Arial"/>
        <family val="2"/>
      </rPr>
      <t xml:space="preserve">State Non-Arbitrage Program (SNAP) </t>
    </r>
    <r>
      <rPr>
        <sz val="10"/>
        <rFont val="Arial"/>
        <family val="2"/>
      </rPr>
      <t>as of year-end by the foundation.</t>
    </r>
  </si>
  <si>
    <t xml:space="preserve">Restricted assets* represent monies or other resources that must be used for specific legal or contractual requirements.  </t>
  </si>
  <si>
    <r>
      <t xml:space="preserve">Restricted Cash </t>
    </r>
    <r>
      <rPr>
        <b/>
        <sz val="10"/>
        <rFont val="Arial"/>
        <family val="2"/>
      </rPr>
      <t>not held</t>
    </r>
    <r>
      <rPr>
        <sz val="10"/>
        <rFont val="Arial"/>
        <family val="2"/>
      </rPr>
      <t xml:space="preserve"> with Treasurer of VA</t>
    </r>
  </si>
  <si>
    <t>Drop-down list</t>
  </si>
  <si>
    <t>A</t>
  </si>
  <si>
    <t>B</t>
  </si>
  <si>
    <t>C</t>
  </si>
  <si>
    <t>D</t>
  </si>
  <si>
    <t>a) Does the foundation have a deferred compensation program for the full-time  employees?</t>
  </si>
  <si>
    <t>d) Provide the actual dollars contributed by the foundation during the year.</t>
  </si>
  <si>
    <t>Part 2) Restricted Cash and Cash Equivalents, Restricted Investments, and Other Restricted Assets</t>
  </si>
  <si>
    <t>Part 3)  Split-Interest Agreements</t>
  </si>
  <si>
    <r>
      <t>Part 4</t>
    </r>
    <r>
      <rPr>
        <sz val="10"/>
        <rFont val="Arial"/>
        <family val="2"/>
      </rPr>
      <t xml:space="preserve">)  </t>
    </r>
    <r>
      <rPr>
        <b/>
        <sz val="10"/>
        <rFont val="Arial"/>
        <family val="2"/>
      </rPr>
      <t>Contingent Liabilities</t>
    </r>
    <r>
      <rPr>
        <sz val="10"/>
        <rFont val="Arial"/>
        <family val="2"/>
      </rPr>
      <t xml:space="preserve"> </t>
    </r>
  </si>
  <si>
    <t xml:space="preserve">                 Year-End Dates </t>
  </si>
  <si>
    <r>
      <t xml:space="preserve">Part 2)  Record </t>
    </r>
    <r>
      <rPr>
        <b/>
        <sz val="10"/>
        <rFont val="Arial"/>
        <family val="2"/>
      </rPr>
      <t>HEI</t>
    </r>
    <r>
      <rPr>
        <sz val="10"/>
        <rFont val="Arial"/>
        <family val="2"/>
      </rPr>
      <t xml:space="preserve"> amounts that cannot be eliminated:</t>
    </r>
  </si>
  <si>
    <r>
      <t xml:space="preserve">Part 1) Record </t>
    </r>
    <r>
      <rPr>
        <b/>
        <sz val="10"/>
        <rFont val="Arial"/>
        <family val="2"/>
      </rPr>
      <t>foundation</t>
    </r>
    <r>
      <rPr>
        <sz val="10"/>
        <rFont val="Arial"/>
        <family val="2"/>
      </rPr>
      <t xml:space="preserve"> amounts that cannot be eliminated:</t>
    </r>
  </si>
  <si>
    <t>Elimination Entries on Combining FST</t>
  </si>
  <si>
    <t>6) Methods and assumptions used for the above estimate</t>
  </si>
  <si>
    <t>7) Describe the potential for changes (i.e. price increases or reductions, technology, applicable laws or regulations, etc.)</t>
  </si>
  <si>
    <t>TAB 2, Receivables for HEI</t>
  </si>
  <si>
    <t>TAB 3, Capital Assets for HEI</t>
  </si>
  <si>
    <t>(linked)</t>
  </si>
  <si>
    <t>Differences</t>
  </si>
  <si>
    <t>For differences, provide explanation for the restatement.</t>
  </si>
  <si>
    <t>TAB 5, Long-Term Liabilities for HEI</t>
  </si>
  <si>
    <t>Differences (provide explanations)</t>
  </si>
  <si>
    <t>Other Liabilities: (provide description)</t>
  </si>
  <si>
    <t>3) HEI is named, or evidence indicates that it will be named, by a regulator as a responsible party or potentially responsible party for remediation, or as a HEI responsible for sharing costs.</t>
  </si>
  <si>
    <t>4) HEI is named, or evidence indicates that it will be named, in a lawsuit to compel the HEI to participate in remediation.</t>
  </si>
  <si>
    <r>
      <t>Part 2</t>
    </r>
    <r>
      <rPr>
        <sz val="10"/>
        <rFont val="Arial"/>
        <family val="2"/>
      </rPr>
      <t xml:space="preserve">)  For </t>
    </r>
    <r>
      <rPr>
        <b/>
        <sz val="10"/>
        <rFont val="Arial"/>
        <family val="2"/>
      </rPr>
      <t>Contributions Receivable, Net</t>
    </r>
    <r>
      <rPr>
        <sz val="10"/>
        <rFont val="Arial"/>
        <family val="2"/>
      </rPr>
      <t xml:space="preserve">  reported by the foundations as of year-end, complete the following:</t>
    </r>
  </si>
  <si>
    <r>
      <t xml:space="preserve"> If </t>
    </r>
    <r>
      <rPr>
        <b/>
        <sz val="9"/>
        <rFont val="Arial"/>
        <family val="2"/>
      </rPr>
      <t>yes</t>
    </r>
    <r>
      <rPr>
        <sz val="9"/>
        <rFont val="Arial"/>
        <family val="2"/>
      </rPr>
      <t>, provide disclosure information:</t>
    </r>
  </si>
  <si>
    <t>TAB  7-Part 1</t>
  </si>
  <si>
    <t>TAB 7-Part 3</t>
  </si>
  <si>
    <t>Grants Payable</t>
  </si>
  <si>
    <t>Total Other Liabilities</t>
  </si>
  <si>
    <t>Bond Anticipation Notes Payable</t>
  </si>
  <si>
    <t xml:space="preserve">Compensated Absences </t>
  </si>
  <si>
    <t>Check figure:</t>
  </si>
  <si>
    <t>Check figures:</t>
  </si>
  <si>
    <t xml:space="preserve">Total Contributions Receivable, Net </t>
  </si>
  <si>
    <t>Check figures</t>
  </si>
  <si>
    <t>3) Unspent proceeds related to energy performance contracts</t>
  </si>
  <si>
    <t>4) Judgment must be used to determine if any other restricted amounts should be reported on these line items.</t>
  </si>
  <si>
    <t xml:space="preserve">2) Unspent bond/note proceeds related to capital/construction projects </t>
  </si>
  <si>
    <t>Appropriations Available - Other</t>
  </si>
  <si>
    <t>State Appropriation Revenue - Operating:</t>
  </si>
  <si>
    <t>State Appropriation Revenue  - Capital Projects</t>
  </si>
  <si>
    <t>Issue dates (earliest to latest)</t>
  </si>
  <si>
    <t>Principal Amount</t>
  </si>
  <si>
    <t>Fixed Rate Bonds Payable (Institutional Debt) - Principal Amount:</t>
  </si>
  <si>
    <t>Variable Rate Bonds Payable (Institutional Debt) - Principal Amount:</t>
  </si>
  <si>
    <t>From (lowest rate)</t>
  </si>
  <si>
    <t>To (highest rate)</t>
  </si>
  <si>
    <t>Series</t>
  </si>
  <si>
    <r>
      <t xml:space="preserve">For </t>
    </r>
    <r>
      <rPr>
        <sz val="10"/>
        <rFont val="Arial"/>
        <family val="2"/>
      </rPr>
      <t xml:space="preserve">the two </t>
    </r>
    <r>
      <rPr>
        <b/>
        <sz val="10"/>
        <rFont val="Arial"/>
        <family val="2"/>
      </rPr>
      <t>Restricted SNAP Individual Portfolio line items</t>
    </r>
    <r>
      <rPr>
        <sz val="10"/>
        <rFont val="Arial"/>
        <family val="2"/>
      </rPr>
      <t>,  provide the following:</t>
    </r>
  </si>
  <si>
    <t>1b)  What is the cost used to determine value?</t>
  </si>
  <si>
    <t>1c)  Provide a general description of inventory on hand.</t>
  </si>
  <si>
    <r>
      <t xml:space="preserve">1d)  Does the institution have any liens from pledging or assigning inventory? </t>
    </r>
    <r>
      <rPr>
        <b/>
        <sz val="9"/>
        <rFont val="Arial"/>
        <family val="2"/>
      </rPr>
      <t>Yes or No</t>
    </r>
  </si>
  <si>
    <r>
      <t xml:space="preserve">1f)  Does the Inventory amount on the FST include donated inventory? </t>
    </r>
    <r>
      <rPr>
        <b/>
        <sz val="9"/>
        <rFont val="Arial"/>
        <family val="2"/>
      </rPr>
      <t>Yes or No</t>
    </r>
  </si>
  <si>
    <t>a)  Is the paragraph below correct for the foundation?</t>
  </si>
  <si>
    <t>The foundation is a non-profit tax-exempt charitable organization that exists solely to assist and support the higher education institution.  The foundation's financial statements are prepared using the economic resources measurement focus and the full accrual basis of accounting.  In addition, the foundation's financial statements are presented under FASB rather than GASB standards.</t>
  </si>
  <si>
    <t>If no, explain:</t>
  </si>
  <si>
    <t>b)  Were the audited financial statements of the foundation used to record amounts/information on Attachment HE-10, Financial Statement Template?</t>
  </si>
  <si>
    <t>Informational Totals:  restricted assets line items</t>
  </si>
  <si>
    <t>Informational Totals:  long-term liabilities-trust &amp; and annuity obligations line items</t>
  </si>
  <si>
    <t>FST &amp; TAB 5</t>
  </si>
  <si>
    <t>Informational Totals:</t>
  </si>
  <si>
    <t>Total installment purchase obligations (linked to TAB 5 Part 2- future principal payments)</t>
  </si>
  <si>
    <t>Difference</t>
  </si>
  <si>
    <t>Deferred Outflows of Resources</t>
  </si>
  <si>
    <t>Statement of Net Position</t>
  </si>
  <si>
    <t>Deferred Inflows of Resources</t>
  </si>
  <si>
    <t>Net Investment in Capital Assets</t>
  </si>
  <si>
    <t>Net Position</t>
  </si>
  <si>
    <t>Total Net Position</t>
  </si>
  <si>
    <t>If Total Assets &amp; Deferred Outflows less Total Liabilities &amp; Deferred Inflows do not equal Total Net Position, an "Error" message will appear.  Make corrections.</t>
  </si>
  <si>
    <t>Check figures (Total Net Position) - b</t>
  </si>
  <si>
    <t>Net position-beginning</t>
  </si>
  <si>
    <t>Net position-ending</t>
  </si>
  <si>
    <t>Check figures (Net Position-ending) - c</t>
  </si>
  <si>
    <t>Check figures (Net position-ending) - c</t>
  </si>
  <si>
    <t>If Net position-ending amount does not equal the Total Net Position per the Statement of Net Position, an "ERROR" message will appear.  Make corrections.</t>
  </si>
  <si>
    <t>Change in net position</t>
  </si>
  <si>
    <t>Elimination Entries to FST tab.  Generally, the combined total of these entries should have a zero impact on ending net position amounts since the amounts being eliminated should equal.</t>
  </si>
  <si>
    <t xml:space="preserve">Generally, these entries should have a zero impact on ending net position since the amounts being eliminated should equal.  If a HEI only has one foundation, </t>
  </si>
  <si>
    <t>If Total Assets less Total Liabilities do not equal Total Net Position, an "Error" message will appear.  Make corrections.</t>
  </si>
  <si>
    <t xml:space="preserve">the HEI and the discrete foundation(s).  Generally, the total of these entries should have a zero impact on ending net position since the amounts being eliminated should </t>
  </si>
  <si>
    <t>Acronyms:   SNP - Statement of Net Position / SA - Statement of Activities</t>
  </si>
  <si>
    <t>SNP     or SA</t>
  </si>
  <si>
    <t>SNP</t>
  </si>
  <si>
    <t>Net Position - Net Investment in Capital Assets</t>
  </si>
  <si>
    <t>Net Position - Total Restricted for Nonexpendable</t>
  </si>
  <si>
    <t>Net Position - Total Restricted for Expendable</t>
  </si>
  <si>
    <t>Net Position - Unrestricted</t>
  </si>
  <si>
    <r>
      <t>Agreement of Beginning Net Position for HEI</t>
    </r>
    <r>
      <rPr>
        <sz val="10"/>
        <rFont val="Arial"/>
        <family val="2"/>
      </rPr>
      <t>:  Does the beginning net position  amount for the HEI agree to the Attachment HE-3, TAB 1, HEI?  If no, submit a revised Attachment HE-3 with this attachment submission.</t>
    </r>
  </si>
  <si>
    <r>
      <t>Agreement of Beginning Net Position for Foundation(s)</t>
    </r>
    <r>
      <rPr>
        <sz val="10"/>
        <rFont val="Arial"/>
        <family val="2"/>
      </rPr>
      <t>:  Does the beginning net position amount for the Foundation(s) agree to the Attachment HE-3, TAB 2, Foundation(s)?  If no, submit a revised Attachment HE-3 with this attachment submission.</t>
    </r>
  </si>
  <si>
    <t xml:space="preserve">If no to the previous question, Supplemental Item 7a, Receivable Reconciliation,  must be submitted along with the Attachment HE-10 submission.  </t>
  </si>
  <si>
    <t xml:space="preserve">An example of an organization that is a joint venture is as follows:  A HEI enters into an agreement with a city to create an organization that operates a performing arts center.  The HEI and the city are considered the participants and provided funding to build the center.  The agreement stipulates that the HEI and the city will share surpluses of the center equally;  therefore,  the HEI and the city have equity interests in the organization.   The HEI appoints four of the eight voting members of the organization's governing body and the city appoints the remaining four voting members; therefore, there is joint control.  </t>
  </si>
  <si>
    <t>Yes or no</t>
  </si>
  <si>
    <t>Overall Category - Description of Deferred Outflows of Resources</t>
  </si>
  <si>
    <t>Does amount agree to FST?</t>
  </si>
  <si>
    <t>Overall Category - Description of Deferred Inflows of Resources</t>
  </si>
  <si>
    <t>Does total amount agree to FST?</t>
  </si>
  <si>
    <t>Calculation of Net Investment in Capital Assets</t>
  </si>
  <si>
    <t>Total net investment in capital assets</t>
  </si>
  <si>
    <t>Tab 9, Net Investment in Capital Assets for HEI</t>
  </si>
  <si>
    <t xml:space="preserve">Tab F10, Net Investment in Capital Assets for Foundations </t>
  </si>
  <si>
    <t>Note A: These amounts must agree to the "Net Investment in Capital Assets" line item on the Combining FST.  If not, an "ERROR" message will appear.  Make corrections as deemed necessary.</t>
  </si>
  <si>
    <t>Note B:  This amount must agree to the "Net Investment in Capital Assets" line item on the Elimination Entries to FST tab for the foundations.  If not, an "ERROR" message will appear.</t>
  </si>
  <si>
    <t>Total Assets &amp; Deferred Outflows of Resources</t>
  </si>
  <si>
    <t>Assets &amp; Deferred Outflows of Resources</t>
  </si>
  <si>
    <t>Liabilities &amp; Deferred Inflows of Resources</t>
  </si>
  <si>
    <t xml:space="preserve">Total Liabilities &amp; Deferred Inflows of Resources </t>
  </si>
  <si>
    <t>Intangible Assets (GASBS No. 51)</t>
  </si>
  <si>
    <t>Reasonableness check:  If the HEI/foundations have amounts reported on nonexpendable/permanently restricted net position line items and no amounts reported on the restricted cash, cash equivalents, and/or investment line items, this may be an indication that amounts were not properly reported on the template in accordance with the above guidelines.</t>
  </si>
  <si>
    <t>TAB 6, Commitments for HEI</t>
  </si>
  <si>
    <r>
      <rPr>
        <u/>
        <sz val="9"/>
        <rFont val="Arial"/>
        <family val="2"/>
      </rPr>
      <t>GASBS No. 14</t>
    </r>
    <r>
      <rPr>
        <sz val="9"/>
        <rFont val="Arial"/>
        <family val="2"/>
      </rPr>
      <t xml:space="preserve">  paragraph 72 defines </t>
    </r>
    <r>
      <rPr>
        <b/>
        <sz val="9"/>
        <rFont val="Arial"/>
        <family val="2"/>
      </rPr>
      <t xml:space="preserve">equity interest </t>
    </r>
    <r>
      <rPr>
        <sz val="9"/>
        <rFont val="Arial"/>
        <family val="2"/>
      </rPr>
      <t xml:space="preserve">as a financial interest in a joint venture evidenced by the ownership of shares of the joint venture's stock or by otherwise having an explicit, measurable right to the net resources of the joint venture that is usually based on an investment of financial or capital resources by a participating government.   It further states that an equity interest is explicit and measurable if the joint venture agreement stipulates that the participants have a present or future claim to the net resources of the joint venture and sets forth the method to determine the participants' shares of the joint venture's net resources.  </t>
    </r>
  </si>
  <si>
    <t>Provide total future principal payments per the Master Equipment Leasing Program (MELP) Listing on DOA's website</t>
  </si>
  <si>
    <t>#) Overall Category - Description of Expenses</t>
  </si>
  <si>
    <r>
      <t xml:space="preserve">1) </t>
    </r>
    <r>
      <rPr>
        <b/>
        <sz val="9"/>
        <rFont val="Arial"/>
        <family val="2"/>
      </rPr>
      <t>Debt Issuance Costs</t>
    </r>
    <r>
      <rPr>
        <sz val="9"/>
        <rFont val="Arial"/>
        <family val="2"/>
      </rPr>
      <t xml:space="preserve"> - Debt issuance costs, excluding prepaid insurance costs (</t>
    </r>
    <r>
      <rPr>
        <u/>
        <sz val="9"/>
        <rFont val="Arial"/>
        <family val="2"/>
      </rPr>
      <t>GASBS No. 65</t>
    </r>
    <r>
      <rPr>
        <sz val="9"/>
        <rFont val="Arial"/>
        <family val="2"/>
      </rPr>
      <t xml:space="preserve"> paragraphs 14 &amp; 15)
</t>
    </r>
  </si>
  <si>
    <r>
      <t xml:space="preserve">2) </t>
    </r>
    <r>
      <rPr>
        <b/>
        <sz val="9"/>
        <rFont val="Arial"/>
        <family val="2"/>
      </rPr>
      <t>Operating Leases</t>
    </r>
    <r>
      <rPr>
        <sz val="9"/>
        <rFont val="Arial"/>
        <family val="2"/>
      </rPr>
      <t xml:space="preserve"> - Lessor's initial direct costs of an operating lease  (</t>
    </r>
    <r>
      <rPr>
        <u/>
        <sz val="9"/>
        <rFont val="Arial"/>
        <family val="2"/>
      </rPr>
      <t>GASBS No. 65</t>
    </r>
    <r>
      <rPr>
        <sz val="9"/>
        <rFont val="Arial"/>
        <family val="2"/>
      </rPr>
      <t xml:space="preserve"> paragraphs 16 &amp; 17)</t>
    </r>
  </si>
  <si>
    <r>
      <t xml:space="preserve">3) </t>
    </r>
    <r>
      <rPr>
        <b/>
        <sz val="9"/>
        <rFont val="Arial"/>
        <family val="2"/>
      </rPr>
      <t>Insurance Activities</t>
    </r>
    <r>
      <rPr>
        <sz val="9"/>
        <rFont val="Arial"/>
        <family val="2"/>
      </rPr>
      <t xml:space="preserve"> - Acquisition costs related to insurance activities  (</t>
    </r>
    <r>
      <rPr>
        <u/>
        <sz val="9"/>
        <rFont val="Arial"/>
        <family val="2"/>
      </rPr>
      <t>GASBS No. 65</t>
    </r>
    <r>
      <rPr>
        <sz val="9"/>
        <rFont val="Arial"/>
        <family val="2"/>
      </rPr>
      <t xml:space="preserve"> paragraphs 19 &amp; 20)
Note:  </t>
    </r>
    <r>
      <rPr>
        <u/>
        <sz val="9"/>
        <rFont val="Arial"/>
        <family val="2"/>
      </rPr>
      <t>GASBS No. 62</t>
    </r>
    <r>
      <rPr>
        <sz val="9"/>
        <rFont val="Arial"/>
        <family val="2"/>
      </rPr>
      <t xml:space="preserve"> paragraphs 400 - 430 establish accounting and financial reporting standards for short-duration insurance contracts underwritten by insurance entities other than public entity risk pools  and </t>
    </r>
    <r>
      <rPr>
        <u/>
        <sz val="9"/>
        <rFont val="Arial"/>
        <family val="2"/>
      </rPr>
      <t>GASBS No. 10</t>
    </r>
    <r>
      <rPr>
        <sz val="9"/>
        <rFont val="Arial"/>
        <family val="2"/>
      </rPr>
      <t xml:space="preserve"> paragraphs 17-51 &amp; 81 establish accounting and financial reporting standards for public entity risk pools.  In addition, </t>
    </r>
    <r>
      <rPr>
        <u/>
        <sz val="9"/>
        <rFont val="Arial"/>
        <family val="2"/>
      </rPr>
      <t>GASBS No. 62</t>
    </r>
    <r>
      <rPr>
        <sz val="9"/>
        <rFont val="Arial"/>
        <family val="2"/>
      </rPr>
      <t xml:space="preserve"> paragraph 412 and </t>
    </r>
    <r>
      <rPr>
        <u/>
        <sz val="9"/>
        <rFont val="Arial"/>
        <family val="2"/>
      </rPr>
      <t>GASBS No. 10</t>
    </r>
    <r>
      <rPr>
        <sz val="9"/>
        <rFont val="Arial"/>
        <family val="2"/>
      </rPr>
      <t xml:space="preserve"> paragraph 28 define acquisition costs as costs that vary with and are primarily related to the acquisition of new and renewal insurance contracts.  Commissions and other costs (i.e., salaries of certain employees involved in the underwriting and policy issue functions, and medical and inspection fees) primarily related to insurance contracts issued or renewed during the period in which the costs are incurred should be considered acquisition costs.</t>
    </r>
  </si>
  <si>
    <r>
      <t xml:space="preserve">4) </t>
    </r>
    <r>
      <rPr>
        <b/>
        <sz val="9"/>
        <rFont val="Arial"/>
        <family val="2"/>
      </rPr>
      <t xml:space="preserve">Lending Activities </t>
    </r>
    <r>
      <rPr>
        <sz val="9"/>
        <rFont val="Arial"/>
        <family val="2"/>
      </rPr>
      <t>- Direct loan origination costs   (</t>
    </r>
    <r>
      <rPr>
        <u/>
        <sz val="9"/>
        <rFont val="Arial"/>
        <family val="2"/>
      </rPr>
      <t>GASBS No. 65</t>
    </r>
    <r>
      <rPr>
        <sz val="9"/>
        <rFont val="Arial"/>
        <family val="2"/>
      </rPr>
      <t xml:space="preserve"> paragraphs 21 &amp; 22)</t>
    </r>
  </si>
  <si>
    <r>
      <t xml:space="preserve">5) </t>
    </r>
    <r>
      <rPr>
        <b/>
        <sz val="9"/>
        <rFont val="Arial"/>
        <family val="2"/>
      </rPr>
      <t>Lending Activities</t>
    </r>
    <r>
      <rPr>
        <sz val="9"/>
        <rFont val="Arial"/>
        <family val="2"/>
      </rPr>
      <t xml:space="preserve"> - Fees paid related to the purchase of a loan or group of loans (</t>
    </r>
    <r>
      <rPr>
        <u/>
        <sz val="9"/>
        <rFont val="Arial"/>
        <family val="2"/>
      </rPr>
      <t>GASBS No. 65</t>
    </r>
    <r>
      <rPr>
        <sz val="9"/>
        <rFont val="Arial"/>
        <family val="2"/>
      </rPr>
      <t xml:space="preserve"> paragraphs 21 &amp;  24)</t>
    </r>
  </si>
  <si>
    <r>
      <t xml:space="preserve">6) </t>
    </r>
    <r>
      <rPr>
        <b/>
        <sz val="9"/>
        <rFont val="Arial"/>
        <family val="2"/>
      </rPr>
      <t xml:space="preserve">Mortgage Banking Activities </t>
    </r>
    <r>
      <rPr>
        <sz val="9"/>
        <rFont val="Arial"/>
        <family val="2"/>
      </rPr>
      <t>- Direct loan origination costs for loans held for investment (</t>
    </r>
    <r>
      <rPr>
        <u/>
        <sz val="9"/>
        <rFont val="Arial"/>
        <family val="2"/>
      </rPr>
      <t>GASBS No. 65</t>
    </r>
    <r>
      <rPr>
        <sz val="9"/>
        <rFont val="Arial"/>
        <family val="2"/>
      </rPr>
      <t xml:space="preserve"> paragraphs 25 &amp; 26)
</t>
    </r>
  </si>
  <si>
    <t>#) Overall Category - Description of Revenue</t>
  </si>
  <si>
    <r>
      <t xml:space="preserve">1) </t>
    </r>
    <r>
      <rPr>
        <b/>
        <sz val="9"/>
        <rFont val="Arial"/>
        <family val="2"/>
      </rPr>
      <t>Lending Activities</t>
    </r>
    <r>
      <rPr>
        <sz val="9"/>
        <rFont val="Arial"/>
        <family val="2"/>
      </rPr>
      <t xml:space="preserve"> -  In lending activities, loan origination fees (excluding portion for points) received by lender   (</t>
    </r>
    <r>
      <rPr>
        <u/>
        <sz val="9"/>
        <rFont val="Arial"/>
        <family val="2"/>
      </rPr>
      <t>GASBS No. 65</t>
    </r>
    <r>
      <rPr>
        <sz val="9"/>
        <rFont val="Arial"/>
        <family val="2"/>
      </rPr>
      <t xml:space="preserve"> paragraphs 21 &amp; 22)</t>
    </r>
  </si>
  <si>
    <r>
      <t xml:space="preserve">3) </t>
    </r>
    <r>
      <rPr>
        <b/>
        <sz val="9"/>
        <color theme="1"/>
        <rFont val="Arial"/>
        <family val="2"/>
      </rPr>
      <t xml:space="preserve">Lending Activities </t>
    </r>
    <r>
      <rPr>
        <sz val="9"/>
        <color theme="1"/>
        <rFont val="Arial"/>
        <family val="2"/>
      </rPr>
      <t>- Fees received related to the purchase of a loan or group of loans (</t>
    </r>
    <r>
      <rPr>
        <u/>
        <sz val="9"/>
        <color theme="1"/>
        <rFont val="Arial"/>
        <family val="2"/>
      </rPr>
      <t>GASBS No. 65</t>
    </r>
    <r>
      <rPr>
        <sz val="9"/>
        <color theme="1"/>
        <rFont val="Arial"/>
        <family val="2"/>
      </rPr>
      <t xml:space="preserve"> paragraphs 21 &amp;  24)</t>
    </r>
  </si>
  <si>
    <r>
      <t xml:space="preserve"> If </t>
    </r>
    <r>
      <rPr>
        <b/>
        <sz val="9"/>
        <rFont val="Arial"/>
        <family val="2"/>
      </rPr>
      <t>no</t>
    </r>
    <r>
      <rPr>
        <sz val="9"/>
        <rFont val="Arial"/>
        <family val="2"/>
      </rPr>
      <t>, provide explanation:</t>
    </r>
  </si>
  <si>
    <t>Yes or  No</t>
  </si>
  <si>
    <t>Deferred outflows of resources - Deferral on debt defeasance - loss</t>
  </si>
  <si>
    <t>Deferred inflows of resources - Deferral on debt defeasance - gain</t>
  </si>
  <si>
    <t>Total deferred amounts for notes &amp; bonds payable  (see Note A)</t>
  </si>
  <si>
    <t>Inexhaustible Works of Art and/or</t>
  </si>
  <si>
    <t>Depreciable Works of Art and/or</t>
  </si>
  <si>
    <r>
      <t xml:space="preserve">A)  Does your institution have any works of art and/or historical treasures that are not capitalized </t>
    </r>
    <r>
      <rPr>
        <u/>
        <sz val="8"/>
        <rFont val="Arial"/>
        <family val="2"/>
      </rPr>
      <t>and</t>
    </r>
    <r>
      <rPr>
        <sz val="8"/>
        <rFont val="Arial"/>
        <family val="2"/>
      </rPr>
      <t xml:space="preserve"> exceed the institution's capitalization threshold?  Yes or No</t>
    </r>
  </si>
  <si>
    <t>B)  Is the reason the works of art and/or historical treasures are not being capitalized because all of the following criteria are met by the institution?  Yes or No</t>
  </si>
  <si>
    <t>Does the HEI have any subsequent events that need to be reported and/or disclosed?</t>
  </si>
  <si>
    <r>
      <t xml:space="preserve">Note B:  </t>
    </r>
    <r>
      <rPr>
        <u/>
        <sz val="9"/>
        <rFont val="Arial"/>
        <family val="2"/>
      </rPr>
      <t>GASBS No. 48</t>
    </r>
    <r>
      <rPr>
        <sz val="9"/>
        <rFont val="Arial"/>
        <family val="2"/>
      </rPr>
      <t xml:space="preserve"> includes guidance on how to report intra-entity transfers of assets and future revenues (including purchases/donations/transfers) within the same financial reporting entity.  Since HEIs are part of the Commonwealth's financial reporting entity, the definition of "intra-entity" for purposes of implementing </t>
    </r>
    <r>
      <rPr>
        <u/>
        <sz val="9"/>
        <rFont val="Arial"/>
        <family val="2"/>
      </rPr>
      <t>GASBS No. 48</t>
    </r>
    <r>
      <rPr>
        <sz val="9"/>
        <rFont val="Arial"/>
        <family val="2"/>
      </rPr>
      <t xml:space="preserve"> is not only the HEI and its foundations but also other entities reported in the Commonwealth's Comprehensive Annual Financial Report (CAFR).  For a listing of the </t>
    </r>
    <r>
      <rPr>
        <u/>
        <sz val="9"/>
        <rFont val="Arial"/>
        <family val="2"/>
      </rPr>
      <t>GASBS No. 48</t>
    </r>
    <r>
      <rPr>
        <sz val="9"/>
        <rFont val="Arial"/>
        <family val="2"/>
      </rPr>
      <t xml:space="preserve"> Commonwealth of Virginia Intra-Entity Reporting List, go to DOA's website and click on the "Financial Statement Directives" link.</t>
    </r>
  </si>
  <si>
    <r>
      <t xml:space="preserve">2) </t>
    </r>
    <r>
      <rPr>
        <b/>
        <sz val="9"/>
        <color theme="1"/>
        <rFont val="Arial"/>
        <family val="2"/>
      </rPr>
      <t>Lending Activities</t>
    </r>
    <r>
      <rPr>
        <sz val="9"/>
        <color theme="1"/>
        <rFont val="Arial"/>
        <family val="2"/>
      </rPr>
      <t xml:space="preserve"> - Commitment fees received for a commitment to originate or purchase a loan or group of loans should be recorded as a liability and if the commitment is exercised, recognize as revenue in the period of exercise.   If government's experience with similar arrangements indicate the likelihood commitment will be exercised is remote, recognize as revenue in period received.  (</t>
    </r>
    <r>
      <rPr>
        <u/>
        <sz val="9"/>
        <color theme="1"/>
        <rFont val="Arial"/>
        <family val="2"/>
      </rPr>
      <t>GASBS No. 65</t>
    </r>
    <r>
      <rPr>
        <sz val="9"/>
        <color theme="1"/>
        <rFont val="Arial"/>
        <family val="2"/>
      </rPr>
      <t xml:space="preserve"> paragraphs 21 &amp; 23)</t>
    </r>
  </si>
  <si>
    <r>
      <t xml:space="preserve">4) </t>
    </r>
    <r>
      <rPr>
        <b/>
        <sz val="9"/>
        <rFont val="Arial"/>
        <family val="2"/>
      </rPr>
      <t xml:space="preserve">Mortgage Banking Activities </t>
    </r>
    <r>
      <rPr>
        <sz val="9"/>
        <rFont val="Arial"/>
        <family val="2"/>
      </rPr>
      <t>- Loan origination fees, excluding portion for points, received by lender for loans held for investment   (</t>
    </r>
    <r>
      <rPr>
        <u/>
        <sz val="9"/>
        <rFont val="Arial"/>
        <family val="2"/>
      </rPr>
      <t>GASBS No. 65</t>
    </r>
    <r>
      <rPr>
        <sz val="9"/>
        <rFont val="Arial"/>
        <family val="2"/>
      </rPr>
      <t xml:space="preserve"> paragraph 25 &amp; 26)</t>
    </r>
  </si>
  <si>
    <t>Tab 8, Short-Term Debt for HEI</t>
  </si>
  <si>
    <t>TAB F9, Short-Term Debt Footnote for Foundation(s)</t>
  </si>
  <si>
    <t>Note A:  This Total must agree to the Short-Term Debt (i.e. lines of credit) reported on the Combining FST tab  in the Foundation(s) Year-End Totals column.  If not, an "ERROR" message will appear.  Make corrections as deemed necessary.</t>
  </si>
  <si>
    <t>Short-Term Debt (i.e. lines of credit)</t>
  </si>
  <si>
    <t>Other Liabilities - Short-Term Debt (i.e. lines of credit)</t>
  </si>
  <si>
    <t>Total Long-Term Liabilities:</t>
  </si>
  <si>
    <r>
      <t xml:space="preserve">For the </t>
    </r>
    <r>
      <rPr>
        <u/>
        <sz val="9"/>
        <rFont val="Arial"/>
        <family val="2"/>
      </rPr>
      <t>Fixed Rate Bonds Payable (Institutional Debt)</t>
    </r>
    <r>
      <rPr>
        <sz val="9"/>
        <rFont val="Arial"/>
        <family val="2"/>
      </rPr>
      <t xml:space="preserve">  - Provide the interest rate range:</t>
    </r>
  </si>
  <si>
    <r>
      <t xml:space="preserve">For </t>
    </r>
    <r>
      <rPr>
        <u/>
        <sz val="9"/>
        <rFont val="Arial"/>
        <family val="2"/>
      </rPr>
      <t>Variable Rate Bonds Payable (Institutional Debt)</t>
    </r>
    <r>
      <rPr>
        <sz val="9"/>
        <rFont val="Arial"/>
        <family val="2"/>
      </rPr>
      <t xml:space="preserve"> - Provide the interest rate in effect as of year-end: </t>
    </r>
  </si>
  <si>
    <t>Statement of Net Position Line item:</t>
  </si>
  <si>
    <t>Part 1b) Deferral on Debt Defeasance (Informational)</t>
  </si>
  <si>
    <t>Provide the payee (external party) and a description of the short-term debt items listed above, including the purpose for which it was issued.</t>
  </si>
  <si>
    <r>
      <t>Part 3b</t>
    </r>
    <r>
      <rPr>
        <sz val="10"/>
        <rFont val="Arial"/>
        <family val="2"/>
      </rPr>
      <t xml:space="preserve">)  Does the foundation have any amounts invested in the </t>
    </r>
    <r>
      <rPr>
        <b/>
        <sz val="10"/>
        <rFont val="Arial"/>
        <family val="2"/>
      </rPr>
      <t>State Non-Arbitrage Program</t>
    </r>
    <r>
      <rPr>
        <sz val="10"/>
        <rFont val="Arial"/>
        <family val="2"/>
      </rPr>
      <t xml:space="preserve"> (SNAP) during the year and/or as of year-end?</t>
    </r>
  </si>
  <si>
    <r>
      <t>Part 6</t>
    </r>
    <r>
      <rPr>
        <sz val="10"/>
        <rFont val="Arial"/>
        <family val="2"/>
      </rPr>
      <t xml:space="preserve">)  Provide information regarding </t>
    </r>
    <r>
      <rPr>
        <b/>
        <sz val="10"/>
        <rFont val="Arial"/>
        <family val="2"/>
      </rPr>
      <t>Long-Term Liabilities - Other Postemployment Benefits</t>
    </r>
    <r>
      <rPr>
        <sz val="10"/>
        <rFont val="Arial"/>
        <family val="2"/>
      </rPr>
      <t xml:space="preserve"> as of year-end reported by the foundation(s).</t>
    </r>
  </si>
  <si>
    <t>Total Long-Term Liabilities - Other</t>
  </si>
  <si>
    <t>Total Long-Term Liabilities - Other Postemployment Benefits</t>
  </si>
  <si>
    <t>Note F:  This Total Long-Term Liabilities - Other Postemployment Benefits must agree to the Long-Term Liabilities - Other Postemployment Benefits-Due in More Than One Year reported on the Combining FST tab in the Foundation(s) Year-End Totals column.  If not, an "ERROR" message will appear.  Make corrections as deemed necessary.</t>
  </si>
  <si>
    <t>Part 5) Subsequent Events*</t>
  </si>
  <si>
    <r>
      <t>2)  There is significant intrafund balance/activity amounts between the HEI and the foundation(s) that have not been eliminated because of the different year-ends</t>
    </r>
    <r>
      <rPr>
        <b/>
        <sz val="10"/>
        <rFont val="Arial"/>
        <family val="2"/>
      </rPr>
      <t xml:space="preserve"> and/or</t>
    </r>
  </si>
  <si>
    <r>
      <t xml:space="preserve">Part 1) Complete the following for </t>
    </r>
    <r>
      <rPr>
        <b/>
        <sz val="10"/>
        <rFont val="Arial"/>
        <family val="2"/>
      </rPr>
      <t>Short-Term Debt</t>
    </r>
    <r>
      <rPr>
        <sz val="10"/>
        <rFont val="Arial"/>
        <family val="2"/>
      </rPr>
      <t xml:space="preserve"> (i.e. lines of credit) amounts as of year-end.</t>
    </r>
  </si>
  <si>
    <t>Total Assets &amp; Deferred Outflows of Resources- Informational</t>
  </si>
  <si>
    <t>Total Liabilities &amp; Deferred Inflows of Resources - Informational</t>
  </si>
  <si>
    <t>Check figures (Total Net Position - b</t>
  </si>
  <si>
    <t>Total - ending net position</t>
  </si>
  <si>
    <t>Check figures (Total Net Position)</t>
  </si>
  <si>
    <t>Check figures (Net Position-ending)</t>
  </si>
  <si>
    <t xml:space="preserve">     Computer Software  (including websites)</t>
  </si>
  <si>
    <t xml:space="preserve"> Deferral on debt defeasance - loss (per TAB 5 Part 1b)</t>
  </si>
  <si>
    <t xml:space="preserve"> Deferral on debt defeasance - gain (per TAB 5 Part 1b)</t>
  </si>
  <si>
    <t>Corporate Bonds and Notes</t>
  </si>
  <si>
    <t>Total (This should be recorded on Attachment HE-11- detail tab -Part 1a.)</t>
  </si>
  <si>
    <r>
      <t xml:space="preserve">Please provide future principal and interest payments for institutional debt. </t>
    </r>
    <r>
      <rPr>
        <b/>
        <sz val="9"/>
        <rFont val="Arial"/>
        <family val="2"/>
      </rPr>
      <t>Institutional debt</t>
    </r>
    <r>
      <rPr>
        <sz val="9"/>
        <rFont val="Arial"/>
        <family val="2"/>
      </rPr>
      <t xml:space="preserve"> is </t>
    </r>
    <r>
      <rPr>
        <b/>
        <sz val="9"/>
        <rFont val="Arial"/>
        <family val="2"/>
      </rPr>
      <t>debt</t>
    </r>
    <r>
      <rPr>
        <sz val="9"/>
        <rFont val="Arial"/>
        <family val="2"/>
      </rPr>
      <t xml:space="preserve"> that is </t>
    </r>
    <r>
      <rPr>
        <b/>
        <sz val="9"/>
        <rFont val="Arial"/>
        <family val="2"/>
      </rPr>
      <t>issued by the Institution</t>
    </r>
  </si>
  <si>
    <r>
      <t xml:space="preserve">Deferred outflows of resources attributable to the acquisition, construction, or improvement of capital assets or debt related to capital assets </t>
    </r>
    <r>
      <rPr>
        <b/>
        <sz val="9"/>
        <rFont val="Arial"/>
        <family val="2"/>
      </rPr>
      <t xml:space="preserve">- </t>
    </r>
    <r>
      <rPr>
        <sz val="9"/>
        <rFont val="Arial"/>
        <family val="2"/>
      </rPr>
      <t>provide description:</t>
    </r>
  </si>
  <si>
    <t xml:space="preserve">Accounts &amp; Retainage Payable to be paid with unspent proceeds on debt related to capital assets </t>
  </si>
  <si>
    <r>
      <t>Deferred inflows of resources attributable to the acquisition, construction, or improvement of capital assets or debt related to capital assets</t>
    </r>
    <r>
      <rPr>
        <b/>
        <sz val="9"/>
        <rFont val="Arial"/>
        <family val="2"/>
      </rPr>
      <t xml:space="preserve"> - </t>
    </r>
    <r>
      <rPr>
        <sz val="9"/>
        <rFont val="Arial"/>
        <family val="2"/>
      </rPr>
      <t>provide description:</t>
    </r>
  </si>
  <si>
    <t xml:space="preserve">Hedge Funds </t>
  </si>
  <si>
    <t xml:space="preserve">Partnerships </t>
  </si>
  <si>
    <t xml:space="preserve">Venture Capital </t>
  </si>
  <si>
    <t>Other* -  Provide descriptions:</t>
  </si>
  <si>
    <t xml:space="preserve"> If no, explain.</t>
  </si>
  <si>
    <t>If no, when will the audit of the foundation(s) be completed and do you anticipate significant adjustments?</t>
  </si>
  <si>
    <t>Due to External Parties (Fiduciary Funds) - amounts owed to VRS</t>
  </si>
  <si>
    <r>
      <t>Net Pension Liability (</t>
    </r>
    <r>
      <rPr>
        <u/>
        <sz val="9"/>
        <rFont val="Arial"/>
        <family val="2"/>
      </rPr>
      <t>GASBS No. 68</t>
    </r>
    <r>
      <rPr>
        <sz val="9"/>
        <rFont val="Arial"/>
        <family val="2"/>
      </rPr>
      <t>)</t>
    </r>
  </si>
  <si>
    <r>
      <t>Due to External Parties (Fiduciary Funds)</t>
    </r>
    <r>
      <rPr>
        <sz val="9"/>
        <rFont val="Arial"/>
        <family val="2"/>
      </rPr>
      <t xml:space="preserve"> - amounts owed to VRS</t>
    </r>
  </si>
  <si>
    <t>The Combining FST tab must be completed for the foundations.  TABs F1 through F10 must be completed for each foundation's footnotes/other information.</t>
  </si>
  <si>
    <t>Notes or Reference to TABs that must be completed for HEI amounts</t>
  </si>
  <si>
    <t>TAB 5-Parts 1 &amp; 4/TAB 9</t>
  </si>
  <si>
    <t>TAB 5-Parts 1 &amp; 2/TAB 9</t>
  </si>
  <si>
    <t>This tab must be completed for the foundations.  Also, TABs F1 through F10 must be completed for each foundation's footnotes/other information.</t>
  </si>
  <si>
    <t>TABs F5 &amp; F5.1-Part 1</t>
  </si>
  <si>
    <t>TABs F5 &amp; F5.1-Part 2</t>
  </si>
  <si>
    <t>TABs that must be completed for HEI elimination entry amounts</t>
  </si>
  <si>
    <t>TABs that must be completed for the Foundation(s) elimination entry amounts</t>
  </si>
  <si>
    <t>If yes,  provide a description of the works of art and/or historical treasures not capitalized and go to B.  If no, go to Part 4.1.</t>
  </si>
  <si>
    <t>Less Present value discount (negative $)</t>
  </si>
  <si>
    <t>Note A:  This Total Notes Payable must agree to the Notes Payable- Due Within One Year plus the Notes Payable -Due in More Than One Year reported on the Combining FST tab in the Foundation(s) Year-End Totals column.  If not, an "ERROR" message will appear.  Make corrections as deemed necessary.</t>
  </si>
  <si>
    <t>Note B:  This Total Bonds Payable must agree to the Bonds Payable- Due Within One Year plus the Bonds Payable -Due in More Than One Year reported on the Combining FST tab in the Foundation(s) Year-End Totals column.  If not, an "ERROR" message will appear.  Make corrections as deemed necessary.</t>
  </si>
  <si>
    <t>Note C:  This Total Capital Lease Obligations must agree to the Capital Lease Obligations- Due Within One Year plus the Capital Lease Obligations -Due in More Than One Year reported on the Combining FST tab in the Foundation(s) Year-End Totals column.  If not, an "ERROR" message will appear.  Make corrections as deemed necessary.</t>
  </si>
  <si>
    <t>Note D:  This Total Installment Purchase Obligations must agree to the Installment Purchase Obligations-Due Within One Year plus the Installment Purchase Obligations -Due in More Than One Year reported on the Combining FST tab in the Foundation(s) Year-End Totals column.  If not, an "ERROR" message will appear.  Make corrections as deemed necessary.</t>
  </si>
  <si>
    <t>Long-Term debt related to capital assets (linked):</t>
  </si>
  <si>
    <t>Short-Term debt (linked)</t>
  </si>
  <si>
    <t>1a) What is the method used to determine value?</t>
  </si>
  <si>
    <t>1e)  Did the institution take physical custody of a significant amount of donated inventory that was or will be distributed by the institution?  (Exclude donated inventory in which the institution only acts in an administrative capacity)</t>
  </si>
  <si>
    <r>
      <t>Change in fair values:  Hedging derivative instrument - effective hedge</t>
    </r>
    <r>
      <rPr>
        <sz val="9"/>
        <rFont val="Arial"/>
        <family val="2"/>
      </rPr>
      <t>:   The "Deferred Outflows of Resources" and the  "Deferred Inflows of Resources" FST line items are to report the change in fair values of hedging derivative instruments - effective hedges.</t>
    </r>
  </si>
  <si>
    <t>Does the foundation have any subsequent events that need to be reported and/or disclosed?</t>
  </si>
  <si>
    <r>
      <rPr>
        <u/>
        <sz val="9"/>
        <rFont val="Arial"/>
        <family val="2"/>
      </rPr>
      <t>GASBS No. 70</t>
    </r>
    <r>
      <rPr>
        <sz val="9"/>
        <rFont val="Arial"/>
        <family val="2"/>
      </rPr>
      <t xml:space="preserve"> defines a nonexchange financial guarantee as a guarantee of an obligation of a legally separate entity or individual which requires the guarantor to indemnify a third-party obligation holder under certain conditions.  In addition, the guarantor receives little or no compensation in return for providing the nonexchange financial guarantee.  A legally separate entity includes blended or discretely presented component units of the government as well as other governments and nongovernmental entities (i.e., not-for profit organizations, private entities, etc.).   For example, a state government may guarantee the debt service payments on bonds of local school districts without receiving compensation from the local school districts.  If a local school district becomes unable to make payments on the debt, the state would make the payment.  A government (guarantor) may extend a nonexchange financial guarantee for the financial obligations of a legally separate entity or individual.  A government may also receive a nonexchange financial guarantee for the government's financial obligations from a legally separate entity or individual (guarantor).  This statement provides reporting guidance for governments that have extended or received nonexchange financial guarantees.  This statement does not apply to guarantees related to special assessment debt addressed in </t>
    </r>
    <r>
      <rPr>
        <u/>
        <sz val="9"/>
        <rFont val="Arial"/>
        <family val="2"/>
      </rPr>
      <t>GASBS No. 6</t>
    </r>
    <r>
      <rPr>
        <sz val="9"/>
        <rFont val="Arial"/>
        <family val="2"/>
      </rPr>
      <t>,</t>
    </r>
    <r>
      <rPr>
        <i/>
        <sz val="9"/>
        <rFont val="Arial"/>
        <family val="2"/>
      </rPr>
      <t xml:space="preserve"> Accounting and Financial Reporting for Special Assessments</t>
    </r>
    <r>
      <rPr>
        <sz val="9"/>
        <rFont val="Arial"/>
        <family val="2"/>
      </rPr>
      <t xml:space="preserve">.
</t>
    </r>
    <r>
      <rPr>
        <b/>
        <sz val="9"/>
        <rFont val="Arial"/>
        <family val="2"/>
      </rPr>
      <t/>
    </r>
  </si>
  <si>
    <t>Year-End Balances:</t>
  </si>
  <si>
    <t>Outstanding Balance as of Year-End</t>
  </si>
  <si>
    <t>Future Payments for Year-Ends as of:</t>
  </si>
  <si>
    <t>Type of Short-Term Debt (i.e. line of credit)</t>
  </si>
  <si>
    <t xml:space="preserve">Other Assets </t>
  </si>
  <si>
    <r>
      <t>Net Pension Liability (</t>
    </r>
    <r>
      <rPr>
        <u/>
        <sz val="9"/>
        <rFont val="Arial"/>
        <family val="2"/>
      </rPr>
      <t>GASBS No. 68</t>
    </r>
    <r>
      <rPr>
        <sz val="9"/>
        <rFont val="Arial"/>
        <family val="2"/>
      </rPr>
      <t>)</t>
    </r>
  </si>
  <si>
    <t xml:space="preserve">Due from Primary Government </t>
  </si>
  <si>
    <t>TAB 7-Part 2</t>
  </si>
  <si>
    <r>
      <t xml:space="preserve">Due to External Parties (Fiduciary Funds) </t>
    </r>
    <r>
      <rPr>
        <sz val="9"/>
        <rFont val="Arial"/>
        <family val="2"/>
      </rPr>
      <t xml:space="preserve">- amounts owed to VRS </t>
    </r>
  </si>
  <si>
    <t>Due from Primary Government</t>
  </si>
  <si>
    <r>
      <t>Agreement of Appropriation &amp; Transfer amounts</t>
    </r>
    <r>
      <rPr>
        <sz val="10"/>
        <rFont val="Arial"/>
        <family val="2"/>
      </rPr>
      <t>:  Do the amounts, including zeros,  reported on the following line items agree to Attachment HE-8?  If no, a revised Attachment HE-8 must be submitted with this attachment submission.</t>
    </r>
  </si>
  <si>
    <r>
      <t>Agreement of Treasury's Reimbursement Program Amounts</t>
    </r>
    <r>
      <rPr>
        <sz val="10"/>
        <rFont val="Arial"/>
        <family val="2"/>
      </rPr>
      <t>:  Do amounts, including zeros, reported on the following line items agree to Attachment HE-9?   If no, a revised Attachment HE-9 must be submitted with this attachment submission.</t>
    </r>
  </si>
  <si>
    <r>
      <t>Change in fair values:  Investment derivative instrument - ineffective hedge &amp; investment derivative instrument - a) held primarily for the purpose of income or profit, and b) has a present service capacity based solely on its ability to generate cash or to be sold to generate cash</t>
    </r>
    <r>
      <rPr>
        <sz val="9"/>
        <rFont val="Arial"/>
        <family val="2"/>
      </rPr>
      <t>:   Report the changes in fair values of these types of derivative instruments on the "Investment Earnings" FST line item.</t>
    </r>
  </si>
  <si>
    <t>Per FST</t>
  </si>
  <si>
    <t>If no, recheck amounts because this total should agree to the Deferred Outflows of Resources reported on the FST.  Make corrections if needed.</t>
  </si>
  <si>
    <t>If no, recheck amounts because this total should agree to the Deferred Inflows of Resources reported on the FST.  Make corrections if needed.</t>
  </si>
  <si>
    <t>If yes, provide amount(s)</t>
  </si>
  <si>
    <t>If yes, provide a general description of these types of items.</t>
  </si>
  <si>
    <r>
      <rPr>
        <u/>
        <sz val="9"/>
        <rFont val="Arial"/>
        <family val="2"/>
      </rPr>
      <t>GASBS No. 69</t>
    </r>
    <r>
      <rPr>
        <sz val="9"/>
        <rFont val="Arial"/>
        <family val="2"/>
      </rPr>
      <t xml:space="preserve"> provides guidance of accounting and financial reporting for government combinations and disposals of government operations.  Government combinations are arrangements that meet the definition of a government merger, government acquisition, or transfer of operations. 
This statement amends </t>
    </r>
    <r>
      <rPr>
        <u/>
        <sz val="9"/>
        <rFont val="Arial"/>
        <family val="2"/>
      </rPr>
      <t>GASB No. 51</t>
    </r>
    <r>
      <rPr>
        <sz val="9"/>
        <rFont val="Arial"/>
        <family val="2"/>
      </rPr>
      <t xml:space="preserve">, </t>
    </r>
    <r>
      <rPr>
        <i/>
        <sz val="9"/>
        <rFont val="Arial"/>
        <family val="2"/>
      </rPr>
      <t>Accounting and Financial Reporting for Intangible Assets</t>
    </r>
    <r>
      <rPr>
        <sz val="9"/>
        <rFont val="Arial"/>
        <family val="2"/>
      </rPr>
      <t xml:space="preserve">, paragraph 3, and </t>
    </r>
    <r>
      <rPr>
        <u/>
        <sz val="9"/>
        <rFont val="Arial"/>
        <family val="2"/>
      </rPr>
      <t>GASB No. 62</t>
    </r>
    <r>
      <rPr>
        <sz val="9"/>
        <rFont val="Arial"/>
        <family val="2"/>
      </rPr>
      <t xml:space="preserve">, </t>
    </r>
    <r>
      <rPr>
        <i/>
        <sz val="9"/>
        <rFont val="Arial"/>
        <family val="2"/>
      </rPr>
      <t>Codification of Accounting and Financial Reporting Guidance Contained in Pre-November 30, 1989 FASB and AICPA Pronouncements</t>
    </r>
    <r>
      <rPr>
        <sz val="9"/>
        <rFont val="Arial"/>
        <family val="2"/>
      </rPr>
      <t xml:space="preserve">, as amended, paragraph 209.
This statement does not apply to combinations in which a government acquires another organization that continues to exist as a separate entity and the acquisition of equity interests in organizations that remain legally separate from the acquiring government addressed in </t>
    </r>
    <r>
      <rPr>
        <u/>
        <sz val="9"/>
        <rFont val="Arial"/>
        <family val="2"/>
      </rPr>
      <t>GASB No. 14</t>
    </r>
    <r>
      <rPr>
        <sz val="9"/>
        <rFont val="Arial"/>
        <family val="2"/>
      </rPr>
      <t xml:space="preserve">, </t>
    </r>
    <r>
      <rPr>
        <i/>
        <sz val="9"/>
        <rFont val="Arial"/>
        <family val="2"/>
      </rPr>
      <t>The Financial Reporting Entity</t>
    </r>
    <r>
      <rPr>
        <sz val="9"/>
        <rFont val="Arial"/>
        <family val="2"/>
      </rPr>
      <t xml:space="preserve">.
</t>
    </r>
    <r>
      <rPr>
        <b/>
        <sz val="9"/>
        <rFont val="Arial"/>
        <family val="2"/>
      </rPr>
      <t xml:space="preserve">
</t>
    </r>
    <r>
      <rPr>
        <sz val="9"/>
        <rFont val="Arial"/>
        <family val="2"/>
      </rPr>
      <t xml:space="preserve">
</t>
    </r>
  </si>
  <si>
    <t>If the foundation has split-interest agreements, are the following statements correct?</t>
  </si>
  <si>
    <t>Subtotal - Investments (excluding Nonnegotiable Certificates of Deposit)</t>
  </si>
  <si>
    <t xml:space="preserve">Nonnegotiable Certificates of Deposit (CDs) should be reported on the financial statement template as a "cash equivalent" </t>
  </si>
  <si>
    <t xml:space="preserve">if original maturity is 90 days or less or "investment" if original maturity is more than 90 days.  However, nonnegotiable </t>
  </si>
  <si>
    <t>CDs are considered deposits for GASBS 3/40 disclosures and the deposit disclosures for nonnegotiable CDs not held  with</t>
  </si>
  <si>
    <t xml:space="preserve">the Treasurer of VA must be provided on the Attachment HE-11.  Refer to the instructions to the Attachment HE-11 for </t>
  </si>
  <si>
    <t>additional information.</t>
  </si>
  <si>
    <t xml:space="preserve">Notes Payable (Other than for Pooled Bonds)  </t>
  </si>
  <si>
    <r>
      <t xml:space="preserve"> If </t>
    </r>
    <r>
      <rPr>
        <b/>
        <sz val="9"/>
        <rFont val="Arial"/>
        <family val="2"/>
      </rPr>
      <t>yes</t>
    </r>
    <r>
      <rPr>
        <sz val="9"/>
        <rFont val="Arial"/>
        <family val="2"/>
      </rPr>
      <t>, provide a brief description including the name of the plan.</t>
    </r>
  </si>
  <si>
    <t>Exclude debt that is not related to capital assets (Note B)</t>
  </si>
  <si>
    <t xml:space="preserve">Note B:  If capital assets purchased with bond proceeds subsequently become permanently impaired ensure the capital assets and debt related to capital asset amounts are revised accordingly.
</t>
  </si>
  <si>
    <t>Total Capital Assets (linked) - including intangible assets (Note B)</t>
  </si>
  <si>
    <t xml:space="preserve">Split-interest agreements generally represent donor contributed assets with the requirement that an annual distribution be made to the donor or specified beneficiary.  The annual distributions are usually for a fixed dollar amount or a fixed percentage of the trust's fair market value.   The present value of these commitments are reported as LT- Liabilities - Trust and Annuity Obligations on the FST.  </t>
  </si>
  <si>
    <t>Note A:  If there is a  "yes" response and no amount is reported on the long-term liabilities - trust &amp; annuity obligations Combining FST line items, this represents an inconsistent response and possible misclassification.    Make sure the responses are appropriate and amounts are properly classified.</t>
  </si>
  <si>
    <t>Due to External Parties (Fiduciary Funds) amounts owed to VRS</t>
  </si>
  <si>
    <t xml:space="preserve">Other Liabilities </t>
  </si>
  <si>
    <t>Foundation(s)</t>
  </si>
  <si>
    <t>E&amp;G Transfers</t>
  </si>
  <si>
    <t>General Fund Transfers</t>
  </si>
  <si>
    <t>Nongen./Gen. Fund Transfers Out</t>
  </si>
  <si>
    <t>Nongen./Gen. Fund Transfers In</t>
  </si>
  <si>
    <t xml:space="preserve">Control totals (Summary of TAB 5 Part 1 excluding ajes) - Balance June 30, 2016  </t>
  </si>
  <si>
    <t>Differences (correcting AJEs)</t>
  </si>
  <si>
    <t>TAB 7-Part 10a</t>
  </si>
  <si>
    <t>TAB 7-Parts 2 &amp; 10b</t>
  </si>
  <si>
    <t>TAB 7-Part 9b</t>
  </si>
  <si>
    <t>TAB 7-Part 9a</t>
  </si>
  <si>
    <t>Nongen. &amp; Gen./Nongen. Fund Transfers In</t>
  </si>
  <si>
    <t>State Appropriation Revenue - Operating: E&amp;G Transfers</t>
  </si>
  <si>
    <t>Net Position - Nonexpendable: Foundation(s)</t>
  </si>
  <si>
    <t>Net Position - Expendable:  Foundation(s)</t>
  </si>
  <si>
    <r>
      <t>Agreement of Amounts to Attachment HE-11</t>
    </r>
    <r>
      <rPr>
        <sz val="10"/>
        <rFont val="Arial"/>
        <family val="2"/>
      </rPr>
      <t>:  Do the total amounts reported on TAB 1A Parts 2 and 3 agree to the amounts reported on the Attachment HE-11 Detail tab -Parts 1a, 1.1a &amp; 3?  If no, make corrections as deemed necessary.</t>
    </r>
  </si>
  <si>
    <t>Answer Required</t>
  </si>
  <si>
    <r>
      <t>Reconciliation</t>
    </r>
    <r>
      <rPr>
        <sz val="10"/>
        <rFont val="Arial"/>
        <family val="2"/>
      </rPr>
      <t>:  For Part 1, If applicable, has a reconciliation been provided for differences between Cardinal and the FST for cash/restricted cash with the Treasurer of VA?  If no, submit a reconciliation.</t>
    </r>
  </si>
  <si>
    <r>
      <t>Loans Payable to Primary Government</t>
    </r>
    <r>
      <rPr>
        <sz val="10"/>
        <rFont val="Arial"/>
        <family val="2"/>
      </rPr>
      <t>:  If the HEI has a balance in general ledger account 206240, Temporary Loans Payable, on Cardinal as of year-end, it should be reported on the Loans Payable to Primary Government FST line item.  If applicable, has the account 206240 amount as of year-end been properly reported on the FST?</t>
    </r>
  </si>
  <si>
    <t>If it does not, attach a detailed reconciliation by fund.  (Note*:  Tier III institutions would also exclude Fund 03220 Account 101010.)</t>
  </si>
  <si>
    <t xml:space="preserve">   E&amp;G Transfers</t>
  </si>
  <si>
    <t xml:space="preserve">   Nongen. &amp; Gen./Nongen. Fund Transfers In</t>
  </si>
  <si>
    <t>FST line items, general description of the items, valuation technique used for items reported at fair value. (This information can be submitted in a separate document along with the Attachment HE-10 if more space is needed)</t>
  </si>
  <si>
    <t>Fair Value Hierarchy</t>
  </si>
  <si>
    <t>Quoted Prices in Active Markets for Identical Assets (Level 1)</t>
  </si>
  <si>
    <t>Significant Other Observable Inputs (Level 2)</t>
  </si>
  <si>
    <t>Significant Unobservable Inputs (Level 3)</t>
  </si>
  <si>
    <t>If yes, provide the change and the reason(s) for making the change.</t>
  </si>
  <si>
    <t>If no, provide reason(s) for nonrecurring fair value measurements.</t>
  </si>
  <si>
    <t>If no, explain. If yes, provide applicable footnote disclosures below or in a separate document and submit along with the Attachment HE-10.</t>
  </si>
  <si>
    <t>Per Cardinal Account</t>
  </si>
  <si>
    <t>101010</t>
  </si>
  <si>
    <t>Total All Funds</t>
  </si>
  <si>
    <t>Fund 01000</t>
  </si>
  <si>
    <t>Fund 09650</t>
  </si>
  <si>
    <t>Fund 03220</t>
  </si>
  <si>
    <t xml:space="preserve">         If yes, go to C.  If no, go to Part 3.3.</t>
  </si>
  <si>
    <t xml:space="preserve">        If yes, go to D.  If no, go to Part 3.2.</t>
  </si>
  <si>
    <t xml:space="preserve">If no, provide explanation and then go to Part 3.2.  </t>
  </si>
  <si>
    <t>those recoveries in Part 3.3.</t>
  </si>
  <si>
    <t>Part 3.2) Idle Capital Assets - Temporarily or Permanently Impaired</t>
  </si>
  <si>
    <t>If yes, provide the carrying amount of capital assets that are idle at year-end and go to Part 3.3.</t>
  </si>
  <si>
    <t>If no, go to Part 3.3.</t>
  </si>
  <si>
    <t>Part 3.3) Other Insurance Recoveries</t>
  </si>
  <si>
    <r>
      <t xml:space="preserve">Part 4)  </t>
    </r>
    <r>
      <rPr>
        <b/>
        <sz val="9"/>
        <rFont val="Arial"/>
        <family val="2"/>
      </rPr>
      <t>Elimination Entries</t>
    </r>
    <r>
      <rPr>
        <sz val="9"/>
        <rFont val="Arial"/>
        <family val="2"/>
      </rPr>
      <t xml:space="preserve"> - Provide the elimination entries that are needed to the footnote disclosure reported in Part 1 that are recorded on the Elimination Entries to the FST tab for the HEI amounts.</t>
    </r>
  </si>
  <si>
    <r>
      <t xml:space="preserve">Part 4)  </t>
    </r>
    <r>
      <rPr>
        <b/>
        <u/>
        <sz val="9"/>
        <rFont val="Arial"/>
        <family val="2"/>
      </rPr>
      <t>GASB Statement No. 33</t>
    </r>
    <r>
      <rPr>
        <sz val="9"/>
        <rFont val="Arial"/>
        <family val="2"/>
      </rPr>
      <t xml:space="preserve">, </t>
    </r>
    <r>
      <rPr>
        <i/>
        <sz val="9"/>
        <rFont val="Arial"/>
        <family val="2"/>
      </rPr>
      <t>Accounting and Financial Reporting for Nonexchange Transactions</t>
    </r>
  </si>
  <si>
    <r>
      <t xml:space="preserve">Part 5)  </t>
    </r>
    <r>
      <rPr>
        <b/>
        <u/>
        <sz val="9"/>
        <rFont val="Arial"/>
        <family val="2"/>
      </rPr>
      <t>GASBS No. 38</t>
    </r>
    <r>
      <rPr>
        <sz val="9"/>
        <rFont val="Arial"/>
        <family val="2"/>
      </rPr>
      <t xml:space="preserve">, </t>
    </r>
    <r>
      <rPr>
        <i/>
        <sz val="9"/>
        <rFont val="Arial"/>
        <family val="2"/>
      </rPr>
      <t>Certain Financial Statement Note Disclosures</t>
    </r>
  </si>
  <si>
    <t>Part 6)  Contingent Liabilities</t>
  </si>
  <si>
    <t>Part 7)  Subsequent Events</t>
  </si>
  <si>
    <t>Part 8)  Donor-Restricted Endowments</t>
  </si>
  <si>
    <t>Part 9)  Other Liabilities &amp; Accounts Payable - Other</t>
  </si>
  <si>
    <t>Part 10)  Other Assets &amp; Other Restricted Assets</t>
  </si>
  <si>
    <r>
      <t xml:space="preserve">Part 12)  </t>
    </r>
    <r>
      <rPr>
        <b/>
        <u/>
        <sz val="9"/>
        <rFont val="Arial"/>
        <family val="2"/>
      </rPr>
      <t>GASBS No. 47</t>
    </r>
    <r>
      <rPr>
        <sz val="9"/>
        <rFont val="Arial"/>
        <family val="2"/>
      </rPr>
      <t xml:space="preserve">, </t>
    </r>
    <r>
      <rPr>
        <i/>
        <sz val="9"/>
        <rFont val="Arial"/>
        <family val="2"/>
      </rPr>
      <t>Accounting for Termination Benefits</t>
    </r>
    <r>
      <rPr>
        <sz val="9"/>
        <rFont val="Arial"/>
        <family val="2"/>
      </rPr>
      <t xml:space="preserve"> </t>
    </r>
  </si>
  <si>
    <r>
      <t xml:space="preserve">Part 13)  </t>
    </r>
    <r>
      <rPr>
        <b/>
        <u/>
        <sz val="9"/>
        <rFont val="Arial"/>
        <family val="2"/>
      </rPr>
      <t>GASBS No. 48</t>
    </r>
    <r>
      <rPr>
        <sz val="9"/>
        <rFont val="Arial"/>
        <family val="2"/>
      </rPr>
      <t xml:space="preserve">, </t>
    </r>
    <r>
      <rPr>
        <i/>
        <sz val="9"/>
        <rFont val="Arial"/>
        <family val="2"/>
      </rPr>
      <t>Sales and Pledges of Receivables and Future Revenues and Intra-Entity Transfers of Assets and Future Revenues</t>
    </r>
  </si>
  <si>
    <r>
      <t xml:space="preserve">13b) </t>
    </r>
    <r>
      <rPr>
        <b/>
        <sz val="9"/>
        <rFont val="Arial"/>
        <family val="2"/>
      </rPr>
      <t>Collateralized Borrowings (Pledging) of Future Revenues</t>
    </r>
    <r>
      <rPr>
        <sz val="9"/>
        <rFont val="Arial"/>
        <family val="2"/>
      </rPr>
      <t xml:space="preserve">:  Does the HEI have any transactions in which the HEI receives, or is entitled to, proceeds in exchange for future cash flows from specific future revenues that meet the definition of a collateralized borrowing in accordance with </t>
    </r>
    <r>
      <rPr>
        <u/>
        <sz val="9"/>
        <rFont val="Arial"/>
        <family val="2"/>
      </rPr>
      <t>GASBS No. 48</t>
    </r>
    <r>
      <rPr>
        <sz val="9"/>
        <rFont val="Arial"/>
        <family val="2"/>
      </rPr>
      <t>?  (see Note A)  If yes, provide a description of these transactions and identify the entity that provided the proceeds.</t>
    </r>
  </si>
  <si>
    <r>
      <t>13c)</t>
    </r>
    <r>
      <rPr>
        <b/>
        <sz val="9"/>
        <rFont val="Arial"/>
        <family val="2"/>
      </rPr>
      <t xml:space="preserve"> Sale of Receivables</t>
    </r>
    <r>
      <rPr>
        <sz val="9"/>
        <rFont val="Arial"/>
        <family val="2"/>
      </rPr>
      <t xml:space="preserve">:  Does the HEI have any transactions in which the HEI receives, or is entitled to, proceeds in exchange for future cash flows from specific receivables that meet the definition of a sale in accordance with </t>
    </r>
    <r>
      <rPr>
        <u/>
        <sz val="9"/>
        <rFont val="Arial"/>
        <family val="2"/>
      </rPr>
      <t>GASBS No. 48</t>
    </r>
    <r>
      <rPr>
        <sz val="9"/>
        <rFont val="Arial"/>
        <family val="2"/>
      </rPr>
      <t xml:space="preserve">?  If yes, provide a description of these transactions and identify the entity that provided the proceeds. </t>
    </r>
  </si>
  <si>
    <r>
      <t xml:space="preserve">13d) </t>
    </r>
    <r>
      <rPr>
        <b/>
        <sz val="9"/>
        <rFont val="Arial"/>
        <family val="2"/>
      </rPr>
      <t>Sale of Future Revenues</t>
    </r>
    <r>
      <rPr>
        <sz val="9"/>
        <rFont val="Arial"/>
        <family val="2"/>
      </rPr>
      <t xml:space="preserve">:  Does the HEI have any transactions in which the HEI receives, or is entitled to, proceeds in exchange for future cash flows from specific future revenues that meet the definition of a sale in accordance with </t>
    </r>
    <r>
      <rPr>
        <u/>
        <sz val="9"/>
        <rFont val="Arial"/>
        <family val="2"/>
      </rPr>
      <t>GASBS No. 48</t>
    </r>
    <r>
      <rPr>
        <sz val="9"/>
        <rFont val="Arial"/>
        <family val="2"/>
      </rPr>
      <t>?  If yes, provide a description of these transactions and identify the entity that provided the proceeds.</t>
    </r>
  </si>
  <si>
    <r>
      <t xml:space="preserve">13e) </t>
    </r>
    <r>
      <rPr>
        <b/>
        <sz val="9"/>
        <rFont val="Arial"/>
        <family val="2"/>
      </rPr>
      <t>Intra-Entity Sale of Receivables &amp; Future Revenues</t>
    </r>
    <r>
      <rPr>
        <sz val="9"/>
        <rFont val="Arial"/>
        <family val="2"/>
      </rPr>
      <t xml:space="preserve">:  If yes to 13c or 13d, do any of these transactions represent intra-entity sales (i.e. within the financial reporting entity - see Note B) as defined by </t>
    </r>
    <r>
      <rPr>
        <u/>
        <sz val="9"/>
        <rFont val="Arial"/>
        <family val="2"/>
      </rPr>
      <t>GASBS No. 48</t>
    </r>
    <r>
      <rPr>
        <sz val="9"/>
        <rFont val="Arial"/>
        <family val="2"/>
      </rPr>
      <t>?  If yes, provide a description of these transactions and identify the intra-entity.</t>
    </r>
  </si>
  <si>
    <r>
      <t xml:space="preserve">13f) </t>
    </r>
    <r>
      <rPr>
        <b/>
        <sz val="9"/>
        <rFont val="Arial"/>
        <family val="2"/>
      </rPr>
      <t>Transferee of Cash Flows from Receivables or Future Revenues</t>
    </r>
    <r>
      <rPr>
        <sz val="9"/>
        <rFont val="Arial"/>
        <family val="2"/>
      </rPr>
      <t xml:space="preserve">:  Parts 13a to 13e are questions assuming the HEI is the transferor.  Does the HEI have any transactions in which the HEI provided proceeds in exchange for being the transferee of cash flows from specific receivables or specific future revenues that were sold or pledged as defined by </t>
    </r>
    <r>
      <rPr>
        <u/>
        <sz val="9"/>
        <rFont val="Arial"/>
        <family val="2"/>
      </rPr>
      <t>GASBS No. 48</t>
    </r>
    <r>
      <rPr>
        <sz val="9"/>
        <rFont val="Arial"/>
        <family val="2"/>
      </rPr>
      <t>?  If yes, provide a description of these transactions and identify the entity that received the proceeds.  In addition, state whether these were considered intra-entity transactions (see Note B in Part 13e).</t>
    </r>
  </si>
  <si>
    <r>
      <t xml:space="preserve">13i) </t>
    </r>
    <r>
      <rPr>
        <b/>
        <sz val="9"/>
        <rFont val="Arial"/>
        <family val="2"/>
      </rPr>
      <t>Reporting of Transactions</t>
    </r>
    <r>
      <rPr>
        <sz val="9"/>
        <rFont val="Arial"/>
        <family val="2"/>
      </rPr>
      <t xml:space="preserve">:  For any "yes" answers in Parts 13a to 13h, were the transactions properly reported on the financial statement template in accordance with </t>
    </r>
    <r>
      <rPr>
        <u/>
        <sz val="9"/>
        <rFont val="Arial"/>
        <family val="2"/>
      </rPr>
      <t>GASBS No. 48</t>
    </r>
    <r>
      <rPr>
        <sz val="9"/>
        <rFont val="Arial"/>
        <family val="2"/>
      </rPr>
      <t xml:space="preserve"> as amended by </t>
    </r>
    <r>
      <rPr>
        <u/>
        <sz val="9"/>
        <rFont val="Arial"/>
        <family val="2"/>
      </rPr>
      <t>GASBS No. 65</t>
    </r>
    <r>
      <rPr>
        <sz val="9"/>
        <rFont val="Arial"/>
        <family val="2"/>
      </rPr>
      <t>?  If no, provide a description of the transactions and an explanation.</t>
    </r>
  </si>
  <si>
    <r>
      <t xml:space="preserve">Part 14)  </t>
    </r>
    <r>
      <rPr>
        <b/>
        <u/>
        <sz val="9"/>
        <rFont val="Arial"/>
        <family val="2"/>
      </rPr>
      <t>GASBS No. 49</t>
    </r>
    <r>
      <rPr>
        <sz val="9"/>
        <rFont val="Arial"/>
        <family val="2"/>
      </rPr>
      <t xml:space="preserve">, </t>
    </r>
    <r>
      <rPr>
        <i/>
        <sz val="9"/>
        <rFont val="Arial"/>
        <family val="2"/>
      </rPr>
      <t>Accounting and Financial Reporting for Pollution Remediation Obligations</t>
    </r>
  </si>
  <si>
    <r>
      <t xml:space="preserve">14b) </t>
    </r>
    <r>
      <rPr>
        <b/>
        <sz val="9"/>
        <rFont val="Arial"/>
        <family val="2"/>
      </rPr>
      <t xml:space="preserve">Recognition Benchmarks:   Part 1) </t>
    </r>
    <r>
      <rPr>
        <sz val="9"/>
        <rFont val="Arial"/>
        <family val="2"/>
      </rPr>
      <t xml:space="preserve"> Is the HEI able to reasonably estimate a range of </t>
    </r>
    <r>
      <rPr>
        <b/>
        <sz val="9"/>
        <rFont val="Arial"/>
        <family val="2"/>
      </rPr>
      <t xml:space="preserve">all </t>
    </r>
    <r>
      <rPr>
        <sz val="9"/>
        <rFont val="Arial"/>
        <family val="2"/>
      </rPr>
      <t>components of the pollution remediation liability because the site situation is common or is similar to other sites that the HEI has had experience?  If yes, go to 14c.   If no, explain and go to 14b Part 2.</t>
    </r>
  </si>
  <si>
    <r>
      <t xml:space="preserve">14c - Part 1) </t>
    </r>
    <r>
      <rPr>
        <b/>
        <sz val="9"/>
        <rFont val="Arial"/>
        <family val="2"/>
      </rPr>
      <t>Measurement - $</t>
    </r>
    <r>
      <rPr>
        <sz val="9"/>
        <rFont val="Arial"/>
        <family val="2"/>
      </rPr>
      <t xml:space="preserve">:  Has </t>
    </r>
    <r>
      <rPr>
        <b/>
        <sz val="9"/>
        <rFont val="Arial"/>
        <family val="2"/>
      </rPr>
      <t>all</t>
    </r>
    <r>
      <rPr>
        <sz val="9"/>
        <rFont val="Arial"/>
        <family val="2"/>
      </rPr>
      <t xml:space="preserve"> of the pollution remediation liability been reasonably estimated in accordance with </t>
    </r>
    <r>
      <rPr>
        <u/>
        <sz val="9"/>
        <rFont val="Arial"/>
        <family val="2"/>
      </rPr>
      <t>GASBS No. 49</t>
    </r>
    <r>
      <rPr>
        <sz val="9"/>
        <rFont val="Arial"/>
        <family val="2"/>
      </rPr>
      <t>?   If no, explain the nature of the pollution remediation liabilities or portions of the liabilities that cannot be reasonably estimated and must be disclosed.</t>
    </r>
  </si>
  <si>
    <r>
      <t xml:space="preserve">14c - Part 2) </t>
    </r>
    <r>
      <rPr>
        <b/>
        <sz val="9"/>
        <rFont val="Arial"/>
        <family val="2"/>
      </rPr>
      <t>Remeasurement - $</t>
    </r>
    <r>
      <rPr>
        <sz val="9"/>
        <rFont val="Arial"/>
        <family val="2"/>
      </rPr>
      <t xml:space="preserve">: Has the HEI determined if a remeasurement of the pollution remediation liability is needed in accordance with </t>
    </r>
    <r>
      <rPr>
        <u/>
        <sz val="9"/>
        <rFont val="Arial"/>
        <family val="2"/>
      </rPr>
      <t>GASBS No. 49</t>
    </r>
    <r>
      <rPr>
        <sz val="9"/>
        <rFont val="Arial"/>
        <family val="2"/>
      </rPr>
      <t>?  If yes, explain the reason for the remeasurement and confirm that the pollution remediation liability has been remeasured.  If no, explain why.</t>
    </r>
  </si>
  <si>
    <r>
      <t>14d)</t>
    </r>
    <r>
      <rPr>
        <b/>
        <sz val="9"/>
        <rFont val="Arial"/>
        <family val="2"/>
      </rPr>
      <t xml:space="preserve"> Expected Recoveries:  </t>
    </r>
    <r>
      <rPr>
        <sz val="9"/>
        <rFont val="Arial"/>
        <family val="2"/>
      </rPr>
      <t xml:space="preserve">Does the HEI expect recoveries as described in </t>
    </r>
    <r>
      <rPr>
        <u/>
        <sz val="9"/>
        <rFont val="Arial"/>
        <family val="2"/>
      </rPr>
      <t>GASBS No. 49</t>
    </r>
    <r>
      <rPr>
        <sz val="9"/>
        <rFont val="Arial"/>
        <family val="2"/>
      </rPr>
      <t xml:space="preserve"> paragraphs 19 to 20 from other responsible parties and/or insurance recoveries from policies that indemnify the HEI for its pollution remediation obligations?  If yes, provide the following:  expected recovery amount, source of expected recovery, and indicate if amount is realized or realizable. </t>
    </r>
  </si>
  <si>
    <r>
      <t xml:space="preserve">14e) </t>
    </r>
    <r>
      <rPr>
        <b/>
        <sz val="9"/>
        <rFont val="Arial"/>
        <family val="2"/>
      </rPr>
      <t>Accounting for Recoveries that Become Expected Later</t>
    </r>
    <r>
      <rPr>
        <sz val="9"/>
        <rFont val="Arial"/>
        <family val="2"/>
      </rPr>
      <t xml:space="preserve">:  Did the HEI have any realized or realizable recoveries from responsible parties and/or insurance recoveries for pollution remediation liabilities that </t>
    </r>
    <r>
      <rPr>
        <b/>
        <sz val="9"/>
        <rFont val="Arial"/>
        <family val="2"/>
      </rPr>
      <t>no longer exist</t>
    </r>
    <r>
      <rPr>
        <sz val="9"/>
        <rFont val="Arial"/>
        <family val="2"/>
      </rPr>
      <t xml:space="preserve"> as described in </t>
    </r>
    <r>
      <rPr>
        <u/>
        <sz val="9"/>
        <rFont val="Arial"/>
        <family val="2"/>
      </rPr>
      <t>GASBS No. 49</t>
    </r>
    <r>
      <rPr>
        <sz val="9"/>
        <rFont val="Arial"/>
        <family val="2"/>
      </rPr>
      <t xml:space="preserve"> paragraph 21?  If yes, provide a description, source of recoveries, $ amount, and FST line items these amounts are reported on.</t>
    </r>
  </si>
  <si>
    <r>
      <t xml:space="preserve">14f)  </t>
    </r>
    <r>
      <rPr>
        <b/>
        <sz val="9"/>
        <rFont val="Arial"/>
        <family val="2"/>
      </rPr>
      <t>Capitalization of Pollution Remediation Outlays</t>
    </r>
    <r>
      <rPr>
        <sz val="9"/>
        <rFont val="Arial"/>
        <family val="2"/>
      </rPr>
      <t xml:space="preserve">: Do any of the estimated pollution remediation outlays meet the capitalization criteria for goods/services as defined in </t>
    </r>
    <r>
      <rPr>
        <u/>
        <sz val="9"/>
        <rFont val="Arial"/>
        <family val="2"/>
      </rPr>
      <t>GASBS No. 49</t>
    </r>
    <r>
      <rPr>
        <sz val="9"/>
        <rFont val="Arial"/>
        <family val="2"/>
      </rPr>
      <t xml:space="preserve">?  </t>
    </r>
  </si>
  <si>
    <r>
      <t xml:space="preserve">14g) </t>
    </r>
    <r>
      <rPr>
        <b/>
        <sz val="9"/>
        <rFont val="Arial"/>
        <family val="2"/>
      </rPr>
      <t>Reporting</t>
    </r>
    <r>
      <rPr>
        <sz val="9"/>
        <rFont val="Arial"/>
        <family val="2"/>
      </rPr>
      <t xml:space="preserve">:  Were pollution remediation liabilities, outlays, and recoveries properly reported on the financial statement template in accordance with </t>
    </r>
    <r>
      <rPr>
        <u/>
        <sz val="9"/>
        <rFont val="Arial"/>
        <family val="2"/>
      </rPr>
      <t>GASBS No. 49</t>
    </r>
    <r>
      <rPr>
        <sz val="9"/>
        <rFont val="Arial"/>
        <family val="2"/>
      </rPr>
      <t>?  If no, explain.</t>
    </r>
  </si>
  <si>
    <r>
      <t xml:space="preserve">Part 15) </t>
    </r>
    <r>
      <rPr>
        <b/>
        <u/>
        <sz val="9"/>
        <rFont val="Arial"/>
        <family val="2"/>
      </rPr>
      <t>GASBS No. 51</t>
    </r>
    <r>
      <rPr>
        <sz val="9"/>
        <rFont val="Arial"/>
        <family val="2"/>
      </rPr>
      <t xml:space="preserve">, </t>
    </r>
    <r>
      <rPr>
        <i/>
        <sz val="9"/>
        <rFont val="Arial"/>
        <family val="2"/>
      </rPr>
      <t>Accounting and Financial Reporting for Intangible Assets</t>
    </r>
  </si>
  <si>
    <r>
      <t xml:space="preserve">15d)  </t>
    </r>
    <r>
      <rPr>
        <b/>
        <sz val="9"/>
        <rFont val="Arial"/>
        <family val="2"/>
      </rPr>
      <t>Reporting</t>
    </r>
    <r>
      <rPr>
        <sz val="9"/>
        <rFont val="Arial"/>
        <family val="2"/>
      </rPr>
      <t xml:space="preserve">:  Were intangible assets properly reported on the financial statement template in accordance with </t>
    </r>
    <r>
      <rPr>
        <u/>
        <sz val="9"/>
        <rFont val="Arial"/>
        <family val="2"/>
      </rPr>
      <t>GASBS No. 51</t>
    </r>
    <r>
      <rPr>
        <sz val="9"/>
        <rFont val="Arial"/>
        <family val="2"/>
      </rPr>
      <t>?  If no, explain.</t>
    </r>
  </si>
  <si>
    <t>17b)  If yes to 17a, is the operator compensated directly from the users of the facility?  The users in this context is anyone outside of state government.</t>
  </si>
  <si>
    <t>17c)  If yes to 17b, does the HEI (transferor) determine or has the ability to modify or approve what services the operator provides, to whom the operator provides the services, and the rates charged for the services?</t>
  </si>
  <si>
    <t>17d)  If yes to 17c, is the HEI (transferor) entitled to significant residual interest in the service utility of the facility at the end of the arrangement?</t>
  </si>
  <si>
    <t>17e)  Does the HEI as a transferor have more than one contract that qualifies as a Service Concession Arrangement?</t>
  </si>
  <si>
    <r>
      <t xml:space="preserve">Part 18)   </t>
    </r>
    <r>
      <rPr>
        <b/>
        <u/>
        <sz val="9"/>
        <rFont val="Arial"/>
        <family val="2"/>
      </rPr>
      <t>GASBS No. 61</t>
    </r>
    <r>
      <rPr>
        <b/>
        <sz val="9"/>
        <rFont val="Arial"/>
        <family val="2"/>
      </rPr>
      <t xml:space="preserve">, </t>
    </r>
    <r>
      <rPr>
        <i/>
        <sz val="9"/>
        <rFont val="Arial"/>
        <family val="2"/>
      </rPr>
      <t>The Financial Reporting Entity: Omnibus</t>
    </r>
  </si>
  <si>
    <t>An example of an organization with joint venture characteristics is as follows:  A HEI enters into an agreement with a city to create an organization that operates a performing arts center.  The HEI and the city are considered the participants and provided funding to build the center.  The agreement stipulates that the HEI and the city will share surpluses of the center equally;  therefore,  the HEI and the city have equity interests in the organization.   The HEI appoints five of the eight voting members of the organization's governing body and the city appoints the remaining three voting members; therefore, the HEI is the majority participant.   In addition, the HEI also has the ability to impose its will on the organization.  Since the HEI appoints a voting majority of the governing body and is able to impose its will on the organization, the organization is considered a component unit of the HEI.    Based on this example, the answers to Parts 18b to 18e would be "yes".</t>
  </si>
  <si>
    <t>18b)  Is the HEI a participant of an organization that is similar to a joint venture; however, there is no joint control because one participant (i.e. majority participant) appoints a voting majority of the organization's governing body?  If yes, provide the name of the organization(s), and description.</t>
  </si>
  <si>
    <t xml:space="preserve">18c)  If yes to 18b, is the HEI the majority participant of this organization?  </t>
  </si>
  <si>
    <t>18d)  If yes to 18b and 18c, is this organization a component unit of the HEI?</t>
  </si>
  <si>
    <r>
      <t xml:space="preserve">18g)  If yes to 18e, are the equity interests properly reported on the financial statement template in accordance with </t>
    </r>
    <r>
      <rPr>
        <u/>
        <sz val="9"/>
        <rFont val="Arial"/>
        <family val="2"/>
      </rPr>
      <t>GASBS No. 61</t>
    </r>
    <r>
      <rPr>
        <sz val="9"/>
        <rFont val="Arial"/>
        <family val="2"/>
      </rPr>
      <t xml:space="preserve">? </t>
    </r>
  </si>
  <si>
    <r>
      <t xml:space="preserve">18j)  If yes to 18i, are the equity interests properly reported on the financial statement template in accordance with </t>
    </r>
    <r>
      <rPr>
        <u/>
        <sz val="9"/>
        <rFont val="Arial"/>
        <family val="2"/>
      </rPr>
      <t xml:space="preserve">GASBS No. 14 </t>
    </r>
    <r>
      <rPr>
        <sz val="9"/>
        <rFont val="Arial"/>
        <family val="2"/>
      </rPr>
      <t xml:space="preserve">modified by </t>
    </r>
    <r>
      <rPr>
        <u/>
        <sz val="9"/>
        <rFont val="Arial"/>
        <family val="2"/>
      </rPr>
      <t>GASBS No. 61</t>
    </r>
    <r>
      <rPr>
        <sz val="9"/>
        <rFont val="Arial"/>
        <family val="2"/>
      </rPr>
      <t xml:space="preserve">? </t>
    </r>
  </si>
  <si>
    <r>
      <t xml:space="preserve">Part 20) </t>
    </r>
    <r>
      <rPr>
        <b/>
        <u/>
        <sz val="9"/>
        <rFont val="Arial"/>
        <family val="2"/>
      </rPr>
      <t>GASBS No. 65</t>
    </r>
    <r>
      <rPr>
        <b/>
        <sz val="9"/>
        <rFont val="Arial"/>
        <family val="2"/>
      </rPr>
      <t>,</t>
    </r>
    <r>
      <rPr>
        <i/>
        <sz val="9"/>
        <rFont val="Arial"/>
        <family val="2"/>
      </rPr>
      <t xml:space="preserve"> Items Previously Reported as Assets and Liabilities</t>
    </r>
  </si>
  <si>
    <r>
      <t>GASBS No. 65</t>
    </r>
    <r>
      <rPr>
        <sz val="9"/>
        <rFont val="Arial"/>
        <family val="2"/>
      </rPr>
      <t xml:space="preserve"> requires certain items to be reported on one of the following applicable line items:
-  Deferred outflows of resources  (see  Part 19a)
-  Deferred inflows of resources  (see  Part 19b)
-  Expenses or expenditures (see  Part 20a)
-  Revenues (see Part 20b)
TAB 7 Part 19 includes questions regarding the reporting of deferred outflows of resources and deferred inflows of resources per </t>
    </r>
    <r>
      <rPr>
        <u/>
        <sz val="9"/>
        <rFont val="Arial"/>
        <family val="2"/>
      </rPr>
      <t>GASBS No. 65</t>
    </r>
    <r>
      <rPr>
        <sz val="9"/>
        <rFont val="Arial"/>
        <family val="2"/>
      </rPr>
      <t xml:space="preserve">.  TAB 7 Part 23  has questions regarding the reporting of expenses or revenues in accordance with </t>
    </r>
    <r>
      <rPr>
        <u/>
        <sz val="9"/>
        <rFont val="Arial"/>
        <family val="2"/>
      </rPr>
      <t>GASBS No. 65</t>
    </r>
    <r>
      <rPr>
        <sz val="9"/>
        <rFont val="Arial"/>
        <family val="2"/>
      </rPr>
      <t xml:space="preserve">.    DOA may request additional information in a separate communication.  The </t>
    </r>
    <r>
      <rPr>
        <b/>
        <sz val="9"/>
        <rFont val="Arial"/>
        <family val="2"/>
      </rPr>
      <t xml:space="preserve">Additional Information:  Attachment HE-10 - TAB 7 - Parts 19 &amp; 20  regarding </t>
    </r>
    <r>
      <rPr>
        <b/>
        <u/>
        <sz val="9"/>
        <rFont val="Arial"/>
        <family val="2"/>
      </rPr>
      <t>GASBS No. 63</t>
    </r>
    <r>
      <rPr>
        <b/>
        <sz val="9"/>
        <rFont val="Arial"/>
        <family val="2"/>
      </rPr>
      <t xml:space="preserve"> &amp; </t>
    </r>
    <r>
      <rPr>
        <b/>
        <u/>
        <sz val="9"/>
        <rFont val="Arial"/>
        <family val="2"/>
      </rPr>
      <t>GASBS No. 65</t>
    </r>
    <r>
      <rPr>
        <sz val="9"/>
        <rFont val="Arial"/>
        <family val="2"/>
      </rPr>
      <t xml:space="preserve"> document available on DOA's website has additional information.  Refer to </t>
    </r>
    <r>
      <rPr>
        <u/>
        <sz val="9"/>
        <rFont val="Arial"/>
        <family val="2"/>
      </rPr>
      <t>GASBS No. 65</t>
    </r>
    <r>
      <rPr>
        <sz val="9"/>
        <rFont val="Arial"/>
        <family val="2"/>
      </rPr>
      <t xml:space="preserve"> for authoritative and detailed guidance.</t>
    </r>
    <r>
      <rPr>
        <u/>
        <sz val="9"/>
        <rFont val="Arial"/>
        <family val="2"/>
      </rPr>
      <t xml:space="preserve">
</t>
    </r>
    <r>
      <rPr>
        <sz val="9"/>
        <rFont val="Arial"/>
        <family val="2"/>
      </rPr>
      <t xml:space="preserve">
</t>
    </r>
    <r>
      <rPr>
        <b/>
        <sz val="9"/>
        <rFont val="Arial"/>
        <family val="2"/>
      </rPr>
      <t xml:space="preserve">
</t>
    </r>
  </si>
  <si>
    <r>
      <t xml:space="preserve">20c) </t>
    </r>
    <r>
      <rPr>
        <b/>
        <sz val="9"/>
        <rFont val="Arial"/>
        <family val="2"/>
      </rPr>
      <t>Reporting</t>
    </r>
    <r>
      <rPr>
        <sz val="9"/>
        <rFont val="Arial"/>
        <family val="2"/>
      </rPr>
      <t xml:space="preserve">:   Were items properly reported on the  financial statement template in accordance with </t>
    </r>
    <r>
      <rPr>
        <u/>
        <sz val="9"/>
        <rFont val="Arial"/>
        <family val="2"/>
      </rPr>
      <t>GASBS No. 65*</t>
    </r>
    <r>
      <rPr>
        <sz val="9"/>
        <rFont val="Arial"/>
        <family val="2"/>
      </rPr>
      <t xml:space="preserve">?  If no, explain. 
Note*:   This question is to make sure items that are required to be reported as expenses, revenues, deferred outflows of resources, and/or deferred inflows of resources in accordance with </t>
    </r>
    <r>
      <rPr>
        <u/>
        <sz val="9"/>
        <rFont val="Arial"/>
        <family val="2"/>
      </rPr>
      <t>GASBS No. 65</t>
    </r>
    <r>
      <rPr>
        <sz val="9"/>
        <rFont val="Arial"/>
        <family val="2"/>
      </rPr>
      <t xml:space="preserve"> were properly reported on the financial statement template.  Therefore, this is referring to items required to be reported in accordance with </t>
    </r>
    <r>
      <rPr>
        <u/>
        <sz val="9"/>
        <rFont val="Arial"/>
        <family val="2"/>
      </rPr>
      <t>GASBS No. 65</t>
    </r>
    <r>
      <rPr>
        <sz val="9"/>
        <rFont val="Arial"/>
        <family val="2"/>
      </rPr>
      <t xml:space="preserve"> listed in  Part 19a items 2 to 8, Part 19b items 4 to 13, Part 20a and Part 20b.
</t>
    </r>
  </si>
  <si>
    <r>
      <rPr>
        <b/>
        <sz val="9"/>
        <rFont val="Arial"/>
        <family val="2"/>
      </rPr>
      <t xml:space="preserve">22e)  Reporting: </t>
    </r>
    <r>
      <rPr>
        <sz val="9"/>
        <rFont val="Arial"/>
        <family val="2"/>
      </rPr>
      <t xml:space="preserve"> If yes to 22a, 22b, 22c, and/or 22d, were the government mergers, government acquisitions, transfers of operations, and/or disposal of government operations properly reported on the financial statement template in accordance with </t>
    </r>
    <r>
      <rPr>
        <u/>
        <sz val="9"/>
        <rFont val="Arial"/>
        <family val="2"/>
      </rPr>
      <t>GASBS No. 69</t>
    </r>
    <r>
      <rPr>
        <sz val="9"/>
        <rFont val="Arial"/>
        <family val="2"/>
      </rPr>
      <t xml:space="preserve">?
</t>
    </r>
  </si>
  <si>
    <t>18e) If yes to 18b, do participants have equity interests in the organization?  If yes, provide the HEI's equity interest amount as of June 30, 2017.</t>
  </si>
  <si>
    <t>Total - FY 2017</t>
  </si>
  <si>
    <r>
      <t xml:space="preserve">20a) </t>
    </r>
    <r>
      <rPr>
        <b/>
        <sz val="9"/>
        <rFont val="Arial"/>
        <family val="2"/>
      </rPr>
      <t>Expenses for FY 2017</t>
    </r>
    <r>
      <rPr>
        <sz val="9"/>
        <rFont val="Arial"/>
        <family val="2"/>
      </rPr>
      <t xml:space="preserve">:  Does the HEI have any items listed below that have to be reported as expenses in accordance with </t>
    </r>
    <r>
      <rPr>
        <u/>
        <sz val="9"/>
        <rFont val="Arial"/>
        <family val="2"/>
      </rPr>
      <t>GASBS No. 65</t>
    </r>
    <r>
      <rPr>
        <sz val="9"/>
        <rFont val="Arial"/>
        <family val="2"/>
      </rPr>
      <t xml:space="preserve"> for FY 2017?  </t>
    </r>
  </si>
  <si>
    <r>
      <t>20b)</t>
    </r>
    <r>
      <rPr>
        <b/>
        <sz val="9"/>
        <rFont val="Arial"/>
        <family val="2"/>
      </rPr>
      <t xml:space="preserve"> Revenues for FY 2017:</t>
    </r>
    <r>
      <rPr>
        <sz val="9"/>
        <rFont val="Arial"/>
        <family val="2"/>
      </rPr>
      <t xml:space="preserve">  Does the HEI have any items listed below that have to be reported as revenue in accordance with </t>
    </r>
    <r>
      <rPr>
        <u/>
        <sz val="9"/>
        <rFont val="Arial"/>
        <family val="2"/>
      </rPr>
      <t>GASBS No. 65</t>
    </r>
    <r>
      <rPr>
        <sz val="9"/>
        <rFont val="Arial"/>
        <family val="2"/>
      </rPr>
      <t xml:space="preserve"> for FY 2017?  </t>
    </r>
  </si>
  <si>
    <r>
      <t xml:space="preserve">15a)  </t>
    </r>
    <r>
      <rPr>
        <b/>
        <sz val="9"/>
        <rFont val="Arial"/>
        <family val="2"/>
      </rPr>
      <t>Intangible Assets as of June 30, 2017</t>
    </r>
    <r>
      <rPr>
        <sz val="9"/>
        <rFont val="Arial"/>
        <family val="2"/>
      </rPr>
      <t xml:space="preserve">:  Does the HEI have intangible assets as of June 30, 2017, as defined in </t>
    </r>
    <r>
      <rPr>
        <u/>
        <sz val="9"/>
        <rFont val="Arial"/>
        <family val="2"/>
      </rPr>
      <t>GASBS No. 51</t>
    </r>
    <r>
      <rPr>
        <sz val="9"/>
        <rFont val="Arial"/>
        <family val="2"/>
      </rPr>
      <t xml:space="preserve">?   See also the Additional Information:  Attachment HE-10 - TAB 3 &amp; TAB 7 - Part 15 regarding </t>
    </r>
    <r>
      <rPr>
        <u/>
        <sz val="9"/>
        <rFont val="Arial"/>
        <family val="2"/>
      </rPr>
      <t>GASBS No. 51</t>
    </r>
    <r>
      <rPr>
        <sz val="9"/>
        <rFont val="Arial"/>
        <family val="2"/>
      </rPr>
      <t xml:space="preserve"> on DOA's website.</t>
    </r>
  </si>
  <si>
    <r>
      <t xml:space="preserve">15c)   </t>
    </r>
    <r>
      <rPr>
        <b/>
        <sz val="9"/>
        <rFont val="Arial"/>
        <family val="2"/>
      </rPr>
      <t>Internally Generated Intangible Assets as of June 30, 2017</t>
    </r>
    <r>
      <rPr>
        <sz val="9"/>
        <rFont val="Arial"/>
        <family val="2"/>
      </rPr>
      <t xml:space="preserve">:  As of June 30, 2017, does the HEI have outlays for internally generated intangible assets as defined in </t>
    </r>
    <r>
      <rPr>
        <u/>
        <sz val="9"/>
        <rFont val="Arial"/>
        <family val="2"/>
      </rPr>
      <t>GASBS No. 51</t>
    </r>
    <r>
      <rPr>
        <sz val="9"/>
        <rFont val="Arial"/>
        <family val="2"/>
      </rPr>
      <t xml:space="preserve"> that are not yet substantially complete and operational (i.e. application development stage for internally generated computer software)?  If yes, indicate below if these outlays are reported on the FST as Construction-in-Progress and provide the amount.</t>
    </r>
  </si>
  <si>
    <t>a)  Are any of the cash and cash equivalent balances as of year-end in excess of the FDIC insurance coverage?</t>
  </si>
  <si>
    <t>b)  Did any cash and cash equivalent balances during the year exceed the FDIC insurance coverage?</t>
  </si>
  <si>
    <r>
      <t>Part 2b</t>
    </r>
    <r>
      <rPr>
        <sz val="10"/>
        <rFont val="Arial"/>
        <family val="2"/>
      </rPr>
      <t xml:space="preserve">)  Were any of the above investments reported at cost rather than fair value because fair value was not readily available or easily determinable? </t>
    </r>
  </si>
  <si>
    <r>
      <rPr>
        <b/>
        <u/>
        <sz val="9"/>
        <rFont val="Arial"/>
        <family val="2"/>
      </rPr>
      <t>Note</t>
    </r>
    <r>
      <rPr>
        <b/>
        <sz val="9"/>
        <rFont val="Arial"/>
        <family val="2"/>
      </rPr>
      <t xml:space="preserve">: </t>
    </r>
    <r>
      <rPr>
        <sz val="9"/>
        <rFont val="Arial"/>
        <family val="2"/>
      </rPr>
      <t xml:space="preserve"> If you discover an "Error" message on any tab that cannot be corrected because of a formula error or you cannot determine why there is an "Error" message, contact DOA.</t>
    </r>
  </si>
  <si>
    <t>Error</t>
  </si>
  <si>
    <r>
      <t>Reasonableness</t>
    </r>
    <r>
      <rPr>
        <sz val="9"/>
        <rFont val="Arial"/>
        <family val="2"/>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</si>
  <si>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</si>
  <si>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</si>
  <si>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r>
      <t>Net Investment in Capital Assets</t>
    </r>
    <r>
      <rPr>
        <sz val="9"/>
        <rFont val="Arial"/>
        <family val="2"/>
      </rPr>
      <t xml:space="preserve">:  Are these amounts properly calculated and reported? </t>
    </r>
  </si>
  <si>
    <r>
      <t>Descriptions</t>
    </r>
    <r>
      <rPr>
        <sz val="9"/>
        <rFont val="Arial"/>
        <family val="2"/>
      </rPr>
      <t>:  For any extraordinary or special items, has a description been provided?  See descriptions below to determine if appropriate.</t>
    </r>
  </si>
  <si>
    <r>
      <t>Extraordinary items</t>
    </r>
    <r>
      <rPr>
        <sz val="9"/>
        <rFont val="Arial"/>
        <family val="2"/>
      </rPr>
      <t xml:space="preserve"> are defined as transactions/events that are both unusual in nature and infrequent in occurrence.  </t>
    </r>
  </si>
  <si>
    <r>
      <t>Special items</t>
    </r>
    <r>
      <rPr>
        <sz val="9"/>
        <rFont val="Arial"/>
        <family val="2"/>
      </rPr>
      <t xml:space="preserve"> are defined as significant transactions/events within the control of management that are either unusual in nature or infrequent in occurrence.</t>
    </r>
  </si>
  <si>
    <r>
      <rPr>
        <b/>
        <sz val="9"/>
        <rFont val="Arial"/>
        <family val="2"/>
      </rPr>
      <t xml:space="preserve">Certification: </t>
    </r>
    <r>
      <rPr>
        <sz val="9"/>
        <rFont val="Arial"/>
        <family val="2"/>
      </rPr>
      <t>Do you certify that you have read and understood the instructions for completing this attachment and that (if you are the reviewer) it has been reviewed and is complete and accurate?</t>
    </r>
  </si>
  <si>
    <r>
      <t>(</t>
    </r>
    <r>
      <rPr>
        <b/>
        <u/>
        <sz val="9"/>
        <rFont val="Arial"/>
        <family val="2"/>
      </rPr>
      <t>Note</t>
    </r>
    <r>
      <rPr>
        <sz val="9"/>
        <rFont val="Arial"/>
        <family val="2"/>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</si>
  <si>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Date:</t>
  </si>
  <si>
    <t>I certify that the above questions have been completed and are accurate.</t>
  </si>
  <si>
    <t>I certify that the above questions have been completed and reviewed.</t>
  </si>
  <si>
    <r>
      <t>Note A</t>
    </r>
    <r>
      <rPr>
        <sz val="9"/>
        <rFont val="Arial"/>
        <family val="2"/>
      </rPr>
      <t>:  "</t>
    </r>
    <r>
      <rPr>
        <b/>
        <sz val="9"/>
        <rFont val="Arial"/>
        <family val="2"/>
      </rPr>
      <t>HEI</t>
    </r>
    <r>
      <rPr>
        <sz val="9"/>
        <rFont val="Arial"/>
        <family val="2"/>
      </rPr>
      <t>" includes the higher education institution and any blended component units.</t>
    </r>
  </si>
  <si>
    <r>
      <t xml:space="preserve">14b) </t>
    </r>
    <r>
      <rPr>
        <b/>
        <sz val="9"/>
        <rFont val="Arial"/>
        <family val="2"/>
      </rPr>
      <t>Recognition Benchmarks:   Part 2)</t>
    </r>
    <r>
      <rPr>
        <sz val="9"/>
        <rFont val="Arial"/>
        <family val="2"/>
      </rPr>
      <t xml:space="preserve">  For pollution remediation obligations that are for sites that are not common or similar to other sites that the HEI has had experience, has the HEI estimated a range of certain components of the pollution remediation liability as the following benchmarks as defined by </t>
    </r>
    <r>
      <rPr>
        <u/>
        <sz val="9"/>
        <rFont val="Arial"/>
        <family val="2"/>
      </rPr>
      <t>GASBS No. 49</t>
    </r>
    <r>
      <rPr>
        <sz val="9"/>
        <rFont val="Arial"/>
        <family val="2"/>
      </rPr>
      <t xml:space="preserve"> have occurred:  1) receipt of an administrative order, 2) participation, as a responsible party or a potentially responsible party, in the site assessment or investigation, 3) completion of a corrective measures feasibility study, 4) issuance of an authorization to proceed, and/or 5) remediation design and implementation, through and including operation and maintenance, and post remediation monitoring?  If yes, provide a description of the benchmarks that have occurred.  If no, explain.</t>
    </r>
  </si>
  <si>
    <t>E&amp;G Reversions</t>
  </si>
  <si>
    <t>Payments to Treas. Bd. - VCBA 21st Cent. &amp; Eqt. Pgms.</t>
  </si>
  <si>
    <r>
      <t xml:space="preserve">Loans Payable to Primary Government </t>
    </r>
    <r>
      <rPr>
        <sz val="9"/>
        <rFont val="Arial"/>
        <family val="2"/>
      </rPr>
      <t>(Cardinal Account 206240 balances)</t>
    </r>
  </si>
  <si>
    <t>State Appropriation Revenue - Operating: E&amp;G Reversions</t>
  </si>
  <si>
    <t>State Appropriation Revenue - Operating: Payments to Treas. Bd. - VCBA 21st Cent. &amp; Eqt. Pgms.</t>
  </si>
  <si>
    <t xml:space="preserve">   E&amp;G Reversions</t>
  </si>
  <si>
    <t xml:space="preserve">   Payments to Treas. Bd. - VCBA 21st Cent. &amp; Eqt. Pgms.</t>
  </si>
  <si>
    <t>HEI-Assets &amp; Def. Outflows</t>
  </si>
  <si>
    <t>HEI-Liabilities &amp; Def. Inflows</t>
  </si>
  <si>
    <t>HEI-Net Position</t>
  </si>
  <si>
    <t>HEI-Rev, Exp, and Chgs</t>
  </si>
  <si>
    <t>Foundations-Assets</t>
  </si>
  <si>
    <t>Foundations-Liabilities</t>
  </si>
  <si>
    <t>Foundations-Net Position</t>
  </si>
  <si>
    <t>Foundations-Rev, Exp, and Chgs</t>
  </si>
  <si>
    <t>Plus: Unamortized Premium 
(positive amount)</t>
  </si>
  <si>
    <t>Less: Unamortized Premium
(negative amount)</t>
  </si>
  <si>
    <r>
      <t xml:space="preserve">Note A:  9c bonds payable are excluded from Part 13b because even though the HEI makes the debt payments from the HEI's revenue streams, the full faith and credit of the Commonwealth has been pledged for the payment of principal and interest on the 9c bonds.  Per paragraph 3 of </t>
    </r>
    <r>
      <rPr>
        <u/>
        <sz val="9"/>
        <rFont val="Arial"/>
        <family val="2"/>
      </rPr>
      <t>GASBS No. 48</t>
    </r>
    <r>
      <rPr>
        <sz val="9"/>
        <rFont val="Arial"/>
        <family val="2"/>
      </rPr>
      <t xml:space="preserve">, this statement does not apply to a government's pledge of its "full faith and credit" as security for its own debt or the debt of a component unit.  </t>
    </r>
  </si>
  <si>
    <r>
      <t xml:space="preserve">Per </t>
    </r>
    <r>
      <rPr>
        <b/>
        <u/>
        <sz val="9"/>
        <rFont val="Arial"/>
        <family val="2"/>
      </rPr>
      <t>GASBS No. 53</t>
    </r>
    <r>
      <rPr>
        <b/>
        <sz val="9"/>
        <rFont val="Arial"/>
        <family val="2"/>
      </rPr>
      <t>, derivative instruments</t>
    </r>
    <r>
      <rPr>
        <sz val="9"/>
        <rFont val="Arial"/>
        <family val="2"/>
      </rPr>
      <t xml:space="preserve"> should be measured at fair value, except for fully benefit responsive-SGICs, which should be measured at contract value.  The derivative instrument classification depends on whether the derivative instrument represents assets or liabilities.  If the FST does not have a line item that properly classifies the derivative instrument, report the derivative instrument on the "Other Assets" or "Other Liabilities" FST line item and provide a description of the derivative instrument on the applicable Attachment HE-10 TAB 7 Parts 10a or 9a.</t>
    </r>
  </si>
  <si>
    <r>
      <t xml:space="preserve">16b)  </t>
    </r>
    <r>
      <rPr>
        <b/>
        <sz val="9"/>
        <rFont val="Arial"/>
        <family val="2"/>
      </rPr>
      <t>Reporting</t>
    </r>
    <r>
      <rPr>
        <sz val="9"/>
        <rFont val="Arial"/>
        <family val="2"/>
      </rPr>
      <t xml:space="preserve"> - Were all HEI derivative instrument activity/balances during FY 2017 and/or as of June 30, 2017, properly reported on the financial statement template in accordance with </t>
    </r>
    <r>
      <rPr>
        <u/>
        <sz val="9"/>
        <rFont val="Arial"/>
        <family val="2"/>
      </rPr>
      <t>GASBS No. 53?</t>
    </r>
    <r>
      <rPr>
        <sz val="9"/>
        <rFont val="Arial"/>
        <family val="2"/>
      </rPr>
      <t xml:space="preserve">  If no, explain.</t>
    </r>
  </si>
  <si>
    <r>
      <rPr>
        <b/>
        <sz val="9"/>
        <rFont val="Arial"/>
        <family val="2"/>
      </rPr>
      <t>23f)  Reporting:</t>
    </r>
    <r>
      <rPr>
        <sz val="9"/>
        <rFont val="Arial"/>
        <family val="2"/>
      </rPr>
      <t xml:space="preserve">  If yes to 23a, 23c, and/or 23d, were items properly reported on the financial statement template in accordance with </t>
    </r>
    <r>
      <rPr>
        <u/>
        <sz val="9"/>
        <rFont val="Arial"/>
        <family val="2"/>
      </rPr>
      <t>GASBS No. 72</t>
    </r>
    <r>
      <rPr>
        <sz val="9"/>
        <rFont val="Arial"/>
        <family val="2"/>
      </rPr>
      <t xml:space="preserve">?
</t>
    </r>
  </si>
  <si>
    <t>Note*:  If a subsequent event comes to your attention after submitting this attachment, it must be reported on the Attachment HE-14, Subsequent Events, due November 13.</t>
  </si>
  <si>
    <t>Total (excluding Nonnegotiable CDs - This should be recorded on Attachment HE-11-detail tab-Part 3a.)</t>
  </si>
  <si>
    <t>Institution Number-Institution Acronym:</t>
  </si>
  <si>
    <t>HEI # - HEI Acronym</t>
  </si>
  <si>
    <t>HEI name to populate</t>
  </si>
  <si>
    <t>Agencies Controlled</t>
  </si>
  <si>
    <t>204-CWM Consol</t>
  </si>
  <si>
    <t>THE COLLEGE OF WILLIAM AND MARY IN VIRGINIA (including CWM, RBC and VIMS)</t>
  </si>
  <si>
    <t>204-CWM only</t>
  </si>
  <si>
    <t>THE COLLEGE OF WILLIAM AND MARY IN VIRGINIA</t>
  </si>
  <si>
    <t>see above</t>
  </si>
  <si>
    <t>204-CWM &amp; VIMS</t>
  </si>
  <si>
    <t>THE COLLEGE OF WILLIAM AND MARY IN VIRGINIA (including CWM and VIMS)</t>
  </si>
  <si>
    <t>207-UVA</t>
  </si>
  <si>
    <t>UNIVERSITY OF VIRGINIA (including UVA, UVA Medical Center and UVA's College at Wise)</t>
  </si>
  <si>
    <t>207, 209, 246</t>
  </si>
  <si>
    <t>208-VPI&amp;SU</t>
  </si>
  <si>
    <t>211-VMI</t>
  </si>
  <si>
    <t>VIRGINIA MILITARY INSTITUTE</t>
  </si>
  <si>
    <t>212-VSU</t>
  </si>
  <si>
    <t>213-NSU</t>
  </si>
  <si>
    <t>NORFOLK STATE UNIVERSITY</t>
  </si>
  <si>
    <t>214-LU</t>
  </si>
  <si>
    <t>LONGWOOD UNIVERSITY</t>
  </si>
  <si>
    <t>215-UMW</t>
  </si>
  <si>
    <t>UNIVERSITY OF MARY WASHINGTON</t>
  </si>
  <si>
    <t>216-JMU</t>
  </si>
  <si>
    <t>JAMES MADISON UNIVERSITY</t>
  </si>
  <si>
    <t>217-RU</t>
  </si>
  <si>
    <t>RADFORD UNIVERSITY</t>
  </si>
  <si>
    <t>221-ODU</t>
  </si>
  <si>
    <t>OLD DOMINION UNIVERSITY</t>
  </si>
  <si>
    <t>236-VCU Consol</t>
  </si>
  <si>
    <t>VIRGINIA COMMONWEALTH UNIVERSITY  (including VCU and VCU Health System Authority)</t>
  </si>
  <si>
    <t>236-VCU only</t>
  </si>
  <si>
    <t xml:space="preserve">VIRGINIA COMMONWEALTH UNIVERSITY </t>
  </si>
  <si>
    <t>236-VCUHSA</t>
  </si>
  <si>
    <t>VIRGINIA COMMONWEALTH UNIVERSITY HEALTH SYSTEM AUTHORITY</t>
  </si>
  <si>
    <t>241-RBC</t>
  </si>
  <si>
    <t>RICHARD BLAND COLLEGE</t>
  </si>
  <si>
    <t>242-CNU</t>
  </si>
  <si>
    <t>CHRISTOPHER NEWPORT UNIVERSITY</t>
  </si>
  <si>
    <t>247-GMU</t>
  </si>
  <si>
    <t>GEORGE MASON UNIVERSITY</t>
  </si>
  <si>
    <t>260-VCCS</t>
  </si>
  <si>
    <t>268-VIMS</t>
  </si>
  <si>
    <t>VIRGINIA INSTITUTE OF MARINE SCIENCES</t>
  </si>
  <si>
    <t>885-IALR</t>
  </si>
  <si>
    <t>INSTITUTE FOR ADVANCED LEARNING &amp; RESEARCH</t>
  </si>
  <si>
    <t>934-IEIA</t>
  </si>
  <si>
    <t>935-RHEA</t>
  </si>
  <si>
    <t>ROANOKE HIGHER EDUCATION AUTHORITY</t>
  </si>
  <si>
    <t>937-SVHEC</t>
  </si>
  <si>
    <t>SOUTHERN VIRGINIA HIGHER EDUCATION CENTER</t>
  </si>
  <si>
    <t>938-NCI</t>
  </si>
  <si>
    <t>NEW COLLEGE INSTITUTE</t>
  </si>
  <si>
    <t>948-SWVHEC</t>
  </si>
  <si>
    <t>SOUTHWEST VIRGINIA HIGHER EDUCATION CENTER</t>
  </si>
  <si>
    <t>204-CWM consol</t>
  </si>
  <si>
    <t xml:space="preserve">Institution Number-Institution Acronym: </t>
  </si>
  <si>
    <t>Institution  Number-Institution Acronym:</t>
  </si>
  <si>
    <t>If Total Assets &amp; Deferred Outflows less Total Liabilities &amp; Deferred Inflows do not equal Total Net Position, an "Error" message will appear.  Make corrections as appropriate.</t>
  </si>
  <si>
    <t xml:space="preserve">     State Appropriation Revenue - Operating:</t>
  </si>
  <si>
    <t xml:space="preserve">Refer to the Implementation Guide No. 2015-1 question 7.22.3 for detailed information. </t>
  </si>
  <si>
    <t>Report the following amounts on the restricted cash, cash equivalent, and investment line items:</t>
  </si>
  <si>
    <r>
      <t xml:space="preserve">Total </t>
    </r>
    <r>
      <rPr>
        <b/>
        <sz val="10"/>
        <rFont val="Arial"/>
        <family val="2"/>
      </rPr>
      <t>must</t>
    </r>
    <r>
      <rPr>
        <sz val="10"/>
        <rFont val="Arial"/>
        <family val="2"/>
      </rPr>
      <t xml:space="preserve"> equal Cardinal Account 101010, excluding Funds 01000, 09650, and 03220* and tie to the FST tab.</t>
    </r>
  </si>
  <si>
    <t>Note A: The Cardinal account 101010 amounts in funds 01000 and 09650 that represent unexpended appropriations that are expected to be reappropriated should be reported on the applicable appropriation available FST line item and should agree to amounts reported on the Attachment HE-8, Appropriation Available and Appropriation Revenue. The Cardinal account 101010 amounts in funds 01000 and 09650 that represent the offset to accounts payable Cardinal accounts 205025 and 205020 as of year-end should be reported on the "Due from Primary Government" FST line item.</t>
  </si>
  <si>
    <t>Note C:</t>
  </si>
  <si>
    <t>Nonnegotiable Certificates of Deposit (not held with Treasurer of VA) - (This should be recorded on Attachment HE-11 - detail tab -  Part 1.1a) - see Note C</t>
  </si>
  <si>
    <r>
      <t xml:space="preserve">13i) </t>
    </r>
    <r>
      <rPr>
        <b/>
        <sz val="9"/>
        <rFont val="Arial"/>
        <family val="2"/>
      </rPr>
      <t>Footnote Disclosures</t>
    </r>
    <r>
      <rPr>
        <sz val="9"/>
        <rFont val="Arial"/>
        <family val="2"/>
      </rPr>
      <t xml:space="preserve">:  DOA previously requested footnote disclosures regarding item 13b) Collateralized Borrowings (Pledging) of Future Revenues.  Are any revisions needed to the footnote information previously provided to DOA and/or does any additional footnote disclosures need to be provided in order to comply with the disclosure requirements of </t>
    </r>
    <r>
      <rPr>
        <u/>
        <sz val="9"/>
        <rFont val="Arial"/>
        <family val="2"/>
      </rPr>
      <t>GASBS No. 48</t>
    </r>
    <r>
      <rPr>
        <sz val="9"/>
        <rFont val="Arial"/>
        <family val="2"/>
      </rPr>
      <t xml:space="preserve">.  If yes, provide the revised and/or additional footnote disclosures below or submit in a separate document.   </t>
    </r>
  </si>
  <si>
    <r>
      <t xml:space="preserve">14g) </t>
    </r>
    <r>
      <rPr>
        <b/>
        <sz val="9"/>
        <rFont val="Arial"/>
        <family val="2"/>
      </rPr>
      <t>Disclosures</t>
    </r>
    <r>
      <rPr>
        <sz val="9"/>
        <rFont val="Arial"/>
        <family val="2"/>
      </rPr>
      <t xml:space="preserve">:  Provide the following information and disclosures as required by </t>
    </r>
    <r>
      <rPr>
        <u/>
        <sz val="9"/>
        <rFont val="Arial"/>
        <family val="2"/>
      </rPr>
      <t>GASBS No. 49:</t>
    </r>
  </si>
  <si>
    <r>
      <t xml:space="preserve">15b)  </t>
    </r>
    <r>
      <rPr>
        <b/>
        <sz val="9"/>
        <rFont val="Arial"/>
        <family val="2"/>
      </rPr>
      <t>Multi-year licensing agreements</t>
    </r>
    <r>
      <rPr>
        <sz val="9"/>
        <rFont val="Arial"/>
        <family val="2"/>
      </rPr>
      <t xml:space="preserve">:  Does the HEI have any multi-year licensing agreements that need to be reported as an intangible asset in accordance with </t>
    </r>
    <r>
      <rPr>
        <b/>
        <u/>
        <sz val="9"/>
        <rFont val="Arial"/>
        <family val="2"/>
      </rPr>
      <t>GASBS No. 51</t>
    </r>
    <r>
      <rPr>
        <sz val="9"/>
        <rFont val="Arial"/>
        <family val="2"/>
      </rPr>
      <t xml:space="preserve"> as of June 30, 2017? (</t>
    </r>
    <r>
      <rPr>
        <b/>
        <u/>
        <sz val="9"/>
        <rFont val="Arial"/>
        <family val="2"/>
      </rPr>
      <t>Note</t>
    </r>
    <r>
      <rPr>
        <sz val="9"/>
        <rFont val="Arial"/>
        <family val="2"/>
      </rPr>
      <t xml:space="preserve">: See GASB's Implementation Guide No. 2015-1 and 2016-1)
</t>
    </r>
    <r>
      <rPr>
        <b/>
        <sz val="9"/>
        <rFont val="Arial"/>
        <family val="2"/>
      </rPr>
      <t>Note</t>
    </r>
    <r>
      <rPr>
        <sz val="9"/>
        <rFont val="Arial"/>
        <family val="2"/>
      </rPr>
      <t xml:space="preserve">: Maintenance contract payments should not be included in this section.
If </t>
    </r>
    <r>
      <rPr>
        <b/>
        <sz val="9"/>
        <rFont val="Arial"/>
        <family val="2"/>
      </rPr>
      <t>yes</t>
    </r>
    <r>
      <rPr>
        <sz val="9"/>
        <rFont val="Arial"/>
        <family val="2"/>
      </rPr>
      <t>, provide the following: description, month/year the agreement was entered into, period the agreement covers, annual required payment, and intangible asset amount.</t>
    </r>
  </si>
  <si>
    <t>17j)  Does the HEI as an operator have more than one contract that qualifies as a Service Concession Arrangement?</t>
  </si>
  <si>
    <r>
      <t xml:space="preserve">
</t>
    </r>
    <r>
      <rPr>
        <b/>
        <sz val="10"/>
        <rFont val="Arial"/>
        <family val="2"/>
      </rPr>
      <t xml:space="preserve">If yes to 17a through 17d and/or yes to 17f through 17i, </t>
    </r>
    <r>
      <rPr>
        <sz val="10"/>
        <rFont val="Arial"/>
        <family val="2"/>
      </rPr>
      <t xml:space="preserve">provide in a separate document and submit along with the Attachment HE-10 submission the footnote disclosures required in </t>
    </r>
    <r>
      <rPr>
        <u/>
        <sz val="10"/>
        <rFont val="Arial"/>
        <family val="2"/>
      </rPr>
      <t>GASBS No. 60</t>
    </r>
    <r>
      <rPr>
        <sz val="10"/>
        <rFont val="Arial"/>
        <family val="2"/>
      </rPr>
      <t xml:space="preserve"> paragraphs 16 - 18 for</t>
    </r>
    <r>
      <rPr>
        <b/>
        <sz val="10"/>
        <rFont val="Arial"/>
        <family val="2"/>
      </rPr>
      <t xml:space="preserve"> all </t>
    </r>
    <r>
      <rPr>
        <sz val="10"/>
        <rFont val="Arial"/>
        <family val="2"/>
      </rPr>
      <t xml:space="preserve">contracts that qualify as a service concession arrangement including the following:
-General description of arrangement in effect during FY 2017, including management's objectives for entering into it and, if applicable, the status of the project during the construction period
-Nature and amounts of assets, liabilities, and deferred inflows of resources related to the arrangement that are recognized in the financial statement template
-Nature and extent of rights retained by the transferor or granted to the governmental operator under the arrangement
-If applicable, identification, duration, and significant contract terms of guarantees or commitments that exist </t>
    </r>
  </si>
  <si>
    <r>
      <rPr>
        <sz val="9"/>
        <rFont val="Arial"/>
        <family val="2"/>
      </rPr>
      <t xml:space="preserve">The </t>
    </r>
    <r>
      <rPr>
        <b/>
        <sz val="9"/>
        <rFont val="Arial"/>
        <family val="2"/>
      </rPr>
      <t xml:space="preserve">Additional Information:  Attachments HE-5 &amp; HE-10 - TAB 7 - Part 18 regarding </t>
    </r>
    <r>
      <rPr>
        <b/>
        <u/>
        <sz val="9"/>
        <rFont val="Arial"/>
        <family val="2"/>
      </rPr>
      <t>GASBS No. 61</t>
    </r>
    <r>
      <rPr>
        <b/>
        <sz val="9"/>
        <rFont val="Arial"/>
        <family val="2"/>
      </rPr>
      <t xml:space="preserve"> </t>
    </r>
    <r>
      <rPr>
        <sz val="9"/>
        <rFont val="Arial"/>
        <family val="2"/>
      </rPr>
      <t xml:space="preserve">pdf document available on DOA’s website has additional information regarding </t>
    </r>
    <r>
      <rPr>
        <u/>
        <sz val="9"/>
        <rFont val="Arial"/>
        <family val="2"/>
      </rPr>
      <t>GASBS No. 61</t>
    </r>
    <r>
      <rPr>
        <sz val="9"/>
        <rFont val="Arial"/>
        <family val="2"/>
      </rPr>
      <t xml:space="preserve">.  
</t>
    </r>
    <r>
      <rPr>
        <b/>
        <sz val="9"/>
        <rFont val="Arial"/>
        <family val="2"/>
      </rPr>
      <t xml:space="preserve">
</t>
    </r>
  </si>
  <si>
    <r>
      <t xml:space="preserve">18a) </t>
    </r>
    <r>
      <rPr>
        <b/>
        <sz val="9"/>
        <rFont val="Arial"/>
        <family val="2"/>
      </rPr>
      <t>Majority Equity Interest in a Legally Separate Organization</t>
    </r>
    <r>
      <rPr>
        <sz val="9"/>
        <rFont val="Arial"/>
        <family val="2"/>
      </rPr>
      <t xml:space="preserve">:  Does the HEI own a majority of the equity interest (for example, through acquisition of its voting stock) in a legally separate organization? If yes,  provide the name(s) of the organization(s),  reason(s) for the acquisition (e.g., for investment* purposes or to directly enhance the ability to provide services), and type of organization(s) (e.g., for-profit corporation, partnership, etc.).
Note*:  </t>
    </r>
    <r>
      <rPr>
        <u/>
        <sz val="9"/>
        <rFont val="Arial"/>
        <family val="2"/>
      </rPr>
      <t>GASBS No. 72</t>
    </r>
    <r>
      <rPr>
        <sz val="9"/>
        <rFont val="Arial"/>
        <family val="2"/>
      </rPr>
      <t xml:space="preserve"> amended </t>
    </r>
    <r>
      <rPr>
        <u/>
        <sz val="9"/>
        <rFont val="Arial"/>
        <family val="2"/>
      </rPr>
      <t>GASBS No. 61</t>
    </r>
    <r>
      <rPr>
        <sz val="9"/>
        <rFont val="Arial"/>
        <family val="2"/>
      </rPr>
      <t xml:space="preserve"> paragraph 10 regarding the definition of investments.
</t>
    </r>
  </si>
  <si>
    <r>
      <t xml:space="preserve">18b to 18f)  </t>
    </r>
    <r>
      <rPr>
        <b/>
        <sz val="9"/>
        <rFont val="Arial"/>
        <family val="2"/>
      </rPr>
      <t>Organizations with Joint Venture Characteristics</t>
    </r>
    <r>
      <rPr>
        <sz val="9"/>
        <rFont val="Arial"/>
        <family val="2"/>
      </rPr>
      <t xml:space="preserve">:   This part includes questions to indicate whether the HEI participates in an organization with joint venture characteristics.  This type of organization would meet the definition of a joint venture except the participants do not have joint control of the organization because one participant (majority participant) appoints a voting majority of the organization's governing body.    </t>
    </r>
  </si>
  <si>
    <r>
      <t xml:space="preserve">18g to 18h)  </t>
    </r>
    <r>
      <rPr>
        <b/>
        <sz val="9"/>
        <rFont val="Arial"/>
        <family val="2"/>
      </rPr>
      <t>Joint Ventures</t>
    </r>
    <r>
      <rPr>
        <sz val="9"/>
        <rFont val="Arial"/>
        <family val="2"/>
      </rPr>
      <t xml:space="preserve">:   This part includes questions to indicate whether the HEI participates in an organization that is a joint venture.   Joint ventures are addressed in </t>
    </r>
    <r>
      <rPr>
        <u/>
        <sz val="9"/>
        <rFont val="Arial"/>
        <family val="2"/>
      </rPr>
      <t>GASBS No. 14</t>
    </r>
    <r>
      <rPr>
        <sz val="9"/>
        <rFont val="Arial"/>
        <family val="2"/>
      </rPr>
      <t xml:space="preserve"> paragraphs 69 to 76.   </t>
    </r>
    <r>
      <rPr>
        <u/>
        <sz val="9"/>
        <rFont val="Arial"/>
        <family val="2"/>
      </rPr>
      <t>GASBS No. 61</t>
    </r>
    <r>
      <rPr>
        <sz val="9"/>
        <rFont val="Arial"/>
        <family val="2"/>
      </rPr>
      <t xml:space="preserve"> paragraph 10 replaces the term "investment" with "equity interest" in </t>
    </r>
    <r>
      <rPr>
        <u/>
        <sz val="9"/>
        <rFont val="Arial"/>
        <family val="2"/>
      </rPr>
      <t>GASBS No. 14</t>
    </r>
    <r>
      <rPr>
        <sz val="9"/>
        <rFont val="Arial"/>
        <family val="2"/>
      </rPr>
      <t xml:space="preserve"> paragraphs 73 &amp; 74.</t>
    </r>
  </si>
  <si>
    <t>18g)  Does the HEI participate in a joint venture?   If yes, provide the name of the organization(s), and description of the joint venture including the nature of any ongoing financial interest or ongoing financial responsibility resulting from participation in the joint venture.</t>
  </si>
  <si>
    <r>
      <rPr>
        <u/>
        <sz val="9"/>
        <rFont val="Arial"/>
        <family val="2"/>
      </rPr>
      <t>GASBS No. 14</t>
    </r>
    <r>
      <rPr>
        <sz val="9"/>
        <rFont val="Arial"/>
        <family val="2"/>
      </rPr>
      <t xml:space="preserve"> paragraph 69 defines a </t>
    </r>
    <r>
      <rPr>
        <b/>
        <sz val="9"/>
        <rFont val="Arial"/>
        <family val="2"/>
      </rPr>
      <t>joint venture</t>
    </r>
    <r>
      <rPr>
        <sz val="9"/>
        <rFont val="Arial"/>
        <family val="2"/>
      </rPr>
      <t xml:space="preserve"> as a legal entity or other organization that results from a contractual arrangement and that is owned, operated, or governed by two or more participants as a separate and specific activity subject to joint control, in which participants retain (a) an ongoing financial interest or (b) an ongoing financial responsibility.  
-  Parts 18b to 18f are regarding organizations that are similar to a joint venture; however, there is no joint control.  
-  Parts 18g to 18h are regarding organizations that are joint ventures.</t>
    </r>
  </si>
  <si>
    <r>
      <t xml:space="preserve">Part 21)  </t>
    </r>
    <r>
      <rPr>
        <b/>
        <u/>
        <sz val="9"/>
        <rFont val="Arial"/>
        <family val="2"/>
      </rPr>
      <t>GASBS No. 69</t>
    </r>
    <r>
      <rPr>
        <i/>
        <sz val="9"/>
        <rFont val="Arial"/>
        <family val="2"/>
      </rPr>
      <t>, Government Combinations and Disposals of Government Operations</t>
    </r>
  </si>
  <si>
    <r>
      <rPr>
        <b/>
        <sz val="9"/>
        <rFont val="Arial"/>
        <family val="2"/>
      </rPr>
      <t xml:space="preserve">21)  Government Combinations &amp; Disposals of Government Operations:  </t>
    </r>
    <r>
      <rPr>
        <sz val="9"/>
        <rFont val="Arial"/>
        <family val="2"/>
      </rPr>
      <t xml:space="preserve">Does the HEI have any of the items listed below that would have to be reported in accordance with </t>
    </r>
    <r>
      <rPr>
        <u/>
        <sz val="9"/>
        <rFont val="Arial"/>
        <family val="2"/>
      </rPr>
      <t>GASBS No. 69</t>
    </r>
    <r>
      <rPr>
        <sz val="9"/>
        <rFont val="Arial"/>
        <family val="2"/>
      </rPr>
      <t xml:space="preserve"> for fiscal year 2017?
</t>
    </r>
  </si>
  <si>
    <r>
      <rPr>
        <b/>
        <sz val="9"/>
        <color theme="1"/>
        <rFont val="Arial"/>
        <family val="2"/>
      </rPr>
      <t xml:space="preserve">21a) Government mergers: </t>
    </r>
    <r>
      <rPr>
        <sz val="9"/>
        <color theme="1"/>
        <rFont val="Arial"/>
        <family val="2"/>
      </rPr>
      <t xml:space="preserve"> Two or more separate legal entities cease to exist and are combined to form one or more new governments or are absorbed into one or more continuing governments in which no significant  consideration is exchanged.  (</t>
    </r>
    <r>
      <rPr>
        <u/>
        <sz val="9"/>
        <color theme="1"/>
        <rFont val="Arial"/>
        <family val="2"/>
      </rPr>
      <t>GASBS No. 69</t>
    </r>
    <r>
      <rPr>
        <sz val="9"/>
        <color theme="1"/>
        <rFont val="Arial"/>
        <family val="2"/>
      </rPr>
      <t xml:space="preserve"> paragraphs 9, 10, 13 - 28)</t>
    </r>
  </si>
  <si>
    <r>
      <rPr>
        <b/>
        <sz val="9"/>
        <color theme="1"/>
        <rFont val="Arial"/>
        <family val="2"/>
      </rPr>
      <t xml:space="preserve">21b) Government acquisitions: </t>
    </r>
    <r>
      <rPr>
        <sz val="9"/>
        <color theme="1"/>
        <rFont val="Arial"/>
        <family val="2"/>
      </rPr>
      <t xml:space="preserve"> One government acquires another entity (or its operations) in exchange for significant consideration and the acquired entity or operations become part of the acquiring government's legally separate entity (</t>
    </r>
    <r>
      <rPr>
        <u/>
        <sz val="9"/>
        <color theme="1"/>
        <rFont val="Arial"/>
        <family val="2"/>
      </rPr>
      <t>GASBS No. 69</t>
    </r>
    <r>
      <rPr>
        <sz val="9"/>
        <color theme="1"/>
        <rFont val="Arial"/>
        <family val="2"/>
      </rPr>
      <t xml:space="preserve"> paragraphs 9, 11, 29 - 45, 51-54).</t>
    </r>
  </si>
  <si>
    <r>
      <rPr>
        <b/>
        <sz val="9"/>
        <color theme="1"/>
        <rFont val="Arial"/>
        <family val="2"/>
      </rPr>
      <t xml:space="preserve">21c) Transfers of operations:  </t>
    </r>
    <r>
      <rPr>
        <sz val="9"/>
        <color theme="1"/>
        <rFont val="Arial"/>
        <family val="2"/>
      </rPr>
      <t>A government combination involving operations of an entity  rather than a combination of legally separate entities, which could be a transfer to an existing entity or creation of a new entity in which no significant consideration is exchanged.  (</t>
    </r>
    <r>
      <rPr>
        <u/>
        <sz val="9"/>
        <color theme="1"/>
        <rFont val="Arial"/>
        <family val="2"/>
      </rPr>
      <t>GASBS No. 69</t>
    </r>
    <r>
      <rPr>
        <sz val="9"/>
        <color theme="1"/>
        <rFont val="Arial"/>
        <family val="2"/>
      </rPr>
      <t xml:space="preserve"> paragraphs 9, 12, 46-54)</t>
    </r>
  </si>
  <si>
    <t xml:space="preserve">If yes to 21a, 21b, 21c, and/or 21d, provide a description of the government combination, list the entities involved, primary reasons for the combination, and date of the combination.  Also, indicate if the HEI was the disposing government or acquiring government in the government combination.  DOA may request in a separate communication additional information.
</t>
  </si>
  <si>
    <r>
      <t xml:space="preserve">22d)  Acquisition Value:  </t>
    </r>
    <r>
      <rPr>
        <sz val="9"/>
        <rFont val="Arial"/>
        <family val="2"/>
      </rPr>
      <t xml:space="preserve">Does the HEI have items received during FY 2017 that have to be reported at acquisition value in accordance with </t>
    </r>
    <r>
      <rPr>
        <u/>
        <sz val="9"/>
        <rFont val="Arial"/>
        <family val="2"/>
      </rPr>
      <t>GASBS No. 72</t>
    </r>
    <r>
      <rPr>
        <sz val="9"/>
        <rFont val="Arial"/>
        <family val="2"/>
      </rPr>
      <t xml:space="preserve"> for FY 2017?</t>
    </r>
  </si>
  <si>
    <t>Note A: Do the unspent proceeds on debt related to capital assets exclude investment earnings?</t>
  </si>
  <si>
    <r>
      <t>Part 2a</t>
    </r>
    <r>
      <rPr>
        <sz val="10"/>
        <rFont val="Arial"/>
        <family val="2"/>
      </rPr>
      <t xml:space="preserve">)  Record the </t>
    </r>
    <r>
      <rPr>
        <b/>
        <sz val="10"/>
        <rFont val="Arial"/>
        <family val="2"/>
      </rPr>
      <t xml:space="preserve">fair value </t>
    </r>
    <r>
      <rPr>
        <sz val="10"/>
        <rFont val="Arial"/>
        <family val="2"/>
      </rPr>
      <t>of investments (including restricted investments) reported by the foundation(s) as of year-end.  
Note*:  Only report amounts in the "Other" category if they do not fit in the more descriptive categories that are listed (e.g., hedge funds, partnerships, etc.).</t>
    </r>
  </si>
  <si>
    <r>
      <t>Purpose</t>
    </r>
    <r>
      <rPr>
        <sz val="9"/>
        <rFont val="Arial"/>
        <family val="2"/>
      </rPr>
      <t>:  This tab is to help ensure completeness of this attachment.  After the attachment is completed, please answer the following questions.</t>
    </r>
  </si>
  <si>
    <r>
      <t xml:space="preserve">Reporting: </t>
    </r>
    <r>
      <rPr>
        <sz val="9"/>
        <rFont val="Arial"/>
        <family val="2"/>
      </rPr>
      <t>Do you certify that all items were properly reported in accordance with all applicable financial reporting standards?</t>
    </r>
  </si>
  <si>
    <t>Institution Number-Institution Acronym (linked)</t>
  </si>
  <si>
    <t>Note A:  When the Institution Number-Institution Acronym is selected on the FST tab, the #N/A's will disappear.</t>
  </si>
  <si>
    <t>Explanation (Note B)
Explanations should:  1) Be reasonable and make sense; 2) Explain why and not just what increased or decreased; 3) Not be too general; and 4) Be consistent or reasonable when compared to other information in the attachment.</t>
  </si>
  <si>
    <t>Explanation - Note B
Explanations should:  1) Be reasonable and make sense; 2) Explain why and not just what increased or decreased; 3) Not be too general; and 4) Be consistent or reasonable when compared to other information in the attachment.</t>
  </si>
  <si>
    <r>
      <t>Agreement of Due from Primary Government</t>
    </r>
    <r>
      <rPr>
        <sz val="10"/>
        <rFont val="Arial"/>
        <family val="2"/>
      </rPr>
      <t>:  Does the Due from Primary Government amount, including zero, agree to Attachment HE-8 TAB 1, Part 1a? If no, explain.</t>
    </r>
  </si>
  <si>
    <t xml:space="preserve">Cash held with Treasurer of Virginia </t>
  </si>
  <si>
    <t xml:space="preserve">Restricted Cash held with Treasurer of Virginia </t>
  </si>
  <si>
    <t>17g)  If yes to 17f, is the HEI (operator) compensated directly from the users of the facility?  The users in this context is anyone outside of state government.</t>
  </si>
  <si>
    <t>17h)  If yes to 17g, does the transferor determine or has the ability to modify or approve what services the HEI (operator) provides, to whom the HEI (operator) provides the services, and the rates charged for the services?</t>
  </si>
  <si>
    <t>17i)  If yes to 17h, is the transferor entitled to significant residual interest in the service utility of the facility at the end of the arrangement?</t>
  </si>
  <si>
    <t xml:space="preserve">18f) If yes to 18b through 18e, are the equity interests of the minority participants reported as restricted net position-nonexpendable on the financial statement template?  If yes, provide the amount of the minority participants' equity interest amount as of June 30, 2017.   If no, explain.  </t>
  </si>
  <si>
    <t>18h) If yes to 18g, do participants have equity interests in the organization?  If yes, provide the HEI's equity interest amount as of June 30, 2017.</t>
  </si>
  <si>
    <r>
      <t xml:space="preserve">21d) Disposals of government operations:  </t>
    </r>
    <r>
      <rPr>
        <sz val="9"/>
        <color theme="1"/>
        <rFont val="Arial"/>
        <family val="2"/>
      </rPr>
      <t>Government disposed of operations by either a sale or transfer of operations as described in Parts 21b and/or 21c above. (</t>
    </r>
    <r>
      <rPr>
        <u/>
        <sz val="9"/>
        <color theme="1"/>
        <rFont val="Arial"/>
        <family val="2"/>
      </rPr>
      <t>GASBS No. 69</t>
    </r>
    <r>
      <rPr>
        <sz val="9"/>
        <color theme="1"/>
        <rFont val="Arial"/>
        <family val="2"/>
      </rPr>
      <t xml:space="preserve"> paragraphs 51-54)</t>
    </r>
  </si>
  <si>
    <t>(Note *:  See Checklist tab item 7 for guidance on what to report on the Restricted Cash/Cash Equivalent/Investment line items.)</t>
  </si>
  <si>
    <t>lock (protect) all cells</t>
  </si>
  <si>
    <r>
      <t xml:space="preserve">Part 15) </t>
    </r>
    <r>
      <rPr>
        <b/>
        <u/>
        <sz val="10"/>
        <rFont val="Arial"/>
        <family val="2"/>
      </rPr>
      <t>GASBS No. 53</t>
    </r>
    <r>
      <rPr>
        <b/>
        <sz val="10"/>
        <rFont val="Arial"/>
        <family val="2"/>
      </rPr>
      <t>,</t>
    </r>
    <r>
      <rPr>
        <sz val="10"/>
        <rFont val="Arial"/>
        <family val="2"/>
      </rPr>
      <t xml:space="preserve"> </t>
    </r>
    <r>
      <rPr>
        <i/>
        <sz val="10"/>
        <rFont val="Arial"/>
        <family val="2"/>
      </rPr>
      <t>Accounting and Financial Reporting for Derivative Instruments</t>
    </r>
    <r>
      <rPr>
        <sz val="10"/>
        <rFont val="Arial"/>
        <family val="2"/>
      </rPr>
      <t xml:space="preserve"> </t>
    </r>
  </si>
  <si>
    <r>
      <t xml:space="preserve">Total fair value amount </t>
    </r>
    <r>
      <rPr>
        <u/>
        <sz val="9"/>
        <rFont val="Arial"/>
        <family val="2"/>
      </rPr>
      <t>not</t>
    </r>
    <r>
      <rPr>
        <sz val="9"/>
        <rFont val="Arial"/>
        <family val="2"/>
      </rPr>
      <t xml:space="preserve"> included in the Att. HE-11 and/or Supplemental Item 7b*</t>
    </r>
  </si>
  <si>
    <r>
      <t xml:space="preserve">Total fair value amount using net asset value per share (or its equivalent) </t>
    </r>
    <r>
      <rPr>
        <u/>
        <sz val="9"/>
        <rFont val="Arial"/>
        <family val="2"/>
      </rPr>
      <t>not</t>
    </r>
    <r>
      <rPr>
        <sz val="9"/>
        <rFont val="Arial"/>
        <family val="2"/>
      </rPr>
      <t xml:space="preserve"> included in the Att. HE-11 and/or Supplemental Item 7b**</t>
    </r>
  </si>
  <si>
    <r>
      <t xml:space="preserve">13h) </t>
    </r>
    <r>
      <rPr>
        <b/>
        <sz val="9"/>
        <rFont val="Arial"/>
        <family val="2"/>
      </rPr>
      <t>Pledging of Future Revenues When No Resources are Received</t>
    </r>
    <r>
      <rPr>
        <sz val="9"/>
        <rFont val="Arial"/>
        <family val="2"/>
      </rPr>
      <t xml:space="preserve">:   Does the HEI have any transactions in which the HEI has pledged future cash flows of specific revenues but did not receive resources in exchange for that pledge?  If yes, provide a description of these transactions and identify the entity that will receive the pledged future revenues. </t>
    </r>
  </si>
  <si>
    <r>
      <t xml:space="preserve">Provide purpose </t>
    </r>
    <r>
      <rPr>
        <b/>
        <u/>
        <sz val="10"/>
        <rFont val="Arial"/>
        <family val="2"/>
      </rPr>
      <t>only if not primarily</t>
    </r>
    <r>
      <rPr>
        <b/>
        <sz val="10"/>
        <rFont val="Arial"/>
        <family val="2"/>
      </rPr>
      <t xml:space="preserve"> </t>
    </r>
    <r>
      <rPr>
        <sz val="10"/>
        <rFont val="Arial"/>
        <family val="2"/>
      </rPr>
      <t>for construction or property acquisition-otherwise leave blank.</t>
    </r>
  </si>
  <si>
    <t>Is the Payee the HEI or another Foundation? Yes or No</t>
  </si>
  <si>
    <t xml:space="preserve">Part 4)  Significant Intrafund Balance/Activity Amounts not Eliminated because of Different </t>
  </si>
  <si>
    <t>Part 6) Other Liabilities</t>
  </si>
  <si>
    <t>VIRGINIA COMMUNITY COLLEGE SYSTEM (includes System Office, Shared Services Center, and Community Colleges)</t>
  </si>
  <si>
    <t>Tax Supported (Paid from State Appropriations)</t>
  </si>
  <si>
    <t>Non-tax supported</t>
  </si>
  <si>
    <r>
      <t xml:space="preserve">Part 11)  </t>
    </r>
    <r>
      <rPr>
        <b/>
        <u/>
        <sz val="9"/>
        <rFont val="Arial"/>
        <family val="2"/>
      </rPr>
      <t>GASBS No. 75</t>
    </r>
    <r>
      <rPr>
        <sz val="9"/>
        <rFont val="Arial"/>
        <family val="2"/>
      </rPr>
      <t xml:space="preserve">, </t>
    </r>
    <r>
      <rPr>
        <i/>
        <sz val="9"/>
        <rFont val="Arial"/>
        <family val="2"/>
      </rPr>
      <t xml:space="preserve">Accounting and Financial Reporting  for Postemployment Benefits Other Than Pensions </t>
    </r>
  </si>
  <si>
    <r>
      <t xml:space="preserve">Provide purpose </t>
    </r>
    <r>
      <rPr>
        <b/>
        <u/>
        <sz val="10"/>
        <rFont val="Arial"/>
        <family val="2"/>
      </rPr>
      <t>only if not primarily</t>
    </r>
    <r>
      <rPr>
        <sz val="10"/>
        <rFont val="Arial"/>
        <family val="2"/>
      </rPr>
      <t xml:space="preserve"> for construction or property acquisition-otherwise leave blank.</t>
    </r>
  </si>
  <si>
    <t>LGIP EM</t>
  </si>
  <si>
    <t>Restricted LGIP EM</t>
  </si>
  <si>
    <t>LGIP/LGIP EM Account #</t>
  </si>
  <si>
    <t>LGIP $ Amount</t>
  </si>
  <si>
    <t>LGIP EM $ Amount</t>
  </si>
  <si>
    <r>
      <t xml:space="preserve">For the </t>
    </r>
    <r>
      <rPr>
        <b/>
        <sz val="10"/>
        <rFont val="Arial"/>
        <family val="2"/>
      </rPr>
      <t>Local Government Investment Pool</t>
    </r>
    <r>
      <rPr>
        <sz val="10"/>
        <rFont val="Arial"/>
        <family val="2"/>
      </rPr>
      <t>, provide the following for LGIP and LGIP EM accounts:</t>
    </r>
  </si>
  <si>
    <r>
      <t xml:space="preserve">For the </t>
    </r>
    <r>
      <rPr>
        <b/>
        <sz val="10"/>
        <rFont val="Arial"/>
        <family val="2"/>
      </rPr>
      <t>Restricted Local Government Investment Pool</t>
    </r>
    <r>
      <rPr>
        <sz val="10"/>
        <rFont val="Arial"/>
        <family val="2"/>
      </rPr>
      <t>, provide the following for LGIP and LGIP EM accounts, if restricted:</t>
    </r>
  </si>
  <si>
    <t>Net Pension Liability</t>
  </si>
  <si>
    <t xml:space="preserve">Net Pension Liability </t>
  </si>
  <si>
    <t>see Note F</t>
  </si>
  <si>
    <r>
      <t xml:space="preserve">Note F:  These line items are for the fluctuation analysis only.  The HEI should follow </t>
    </r>
    <r>
      <rPr>
        <u/>
        <sz val="9"/>
        <rFont val="Arial"/>
        <family val="2"/>
      </rPr>
      <t>GASBS No. 81</t>
    </r>
    <r>
      <rPr>
        <sz val="9"/>
        <rFont val="Arial"/>
        <family val="2"/>
      </rPr>
      <t xml:space="preserve"> to report irrevocable split-interest agreements.  For foundations, report  increase/decrease in split-interest agreements on the Investment Earnings Combining FST line item, if unrestricted, and the applicable revenue Combining FST line item, if restricted.</t>
    </r>
  </si>
  <si>
    <t>Note F:    For foundations, report  increase/decrease in split-interest agreements on the Investment Earnings  line item, if unrestricted, and the applicable revenue line item, if restricted.</t>
  </si>
  <si>
    <t xml:space="preserve">LT Liabilities: Due in More Than One Year - Net Pension Liability </t>
  </si>
  <si>
    <r>
      <t xml:space="preserve">Net Pension Liability </t>
    </r>
    <r>
      <rPr>
        <u/>
        <sz val="9"/>
        <rFont val="Arial"/>
        <family val="2"/>
      </rPr>
      <t/>
    </r>
  </si>
  <si>
    <r>
      <rPr>
        <b/>
        <u/>
        <sz val="9"/>
        <rFont val="Arial"/>
        <family val="2"/>
      </rPr>
      <t>Note</t>
    </r>
    <r>
      <rPr>
        <b/>
        <sz val="9"/>
        <rFont val="Arial"/>
        <family val="2"/>
      </rPr>
      <t>:  DOA may request additional information based on the answers provided.</t>
    </r>
  </si>
  <si>
    <r>
      <t xml:space="preserve">Virginia Department of Human Resource Management (DHRM) administers the following OPEB plan and this plan does </t>
    </r>
    <r>
      <rPr>
        <u/>
        <sz val="9"/>
        <rFont val="Arial"/>
        <family val="2"/>
      </rPr>
      <t>not</t>
    </r>
    <r>
      <rPr>
        <sz val="9"/>
        <rFont val="Arial"/>
        <family val="2"/>
      </rPr>
      <t xml:space="preserve"> have a trust.
  1)</t>
    </r>
    <r>
      <rPr>
        <b/>
        <sz val="9"/>
        <rFont val="Arial"/>
        <family val="2"/>
      </rPr>
      <t xml:space="preserve">  Commonwealth's Pre-Medicare Retiree Healthcare Program</t>
    </r>
    <r>
      <rPr>
        <sz val="9"/>
        <rFont val="Arial"/>
        <family val="2"/>
      </rPr>
      <t>:  The Commonwealth provides a healthcare plan for retired state employees who are not yet eligible to participate in Medicare. 
Virginia Retirement System (VRS) administers the following OPEB plans and these plans have a trust.
  2)</t>
    </r>
    <r>
      <rPr>
        <b/>
        <sz val="9"/>
        <rFont val="Arial"/>
        <family val="2"/>
      </rPr>
      <t xml:space="preserve"> Commonwealth's Retiree Health Insurance Credit Program</t>
    </r>
    <r>
      <rPr>
        <sz val="9"/>
        <rFont val="Arial"/>
        <family val="2"/>
      </rPr>
      <t>:  The Commonwealth provides this benefit to retired state employees based on a years of service credit towards their monthly health insurance premiums.
  3)</t>
    </r>
    <r>
      <rPr>
        <b/>
        <sz val="9"/>
        <rFont val="Arial"/>
        <family val="2"/>
      </rPr>
      <t xml:space="preserve">  Commonwealth's Line of Duty Act Program</t>
    </r>
    <r>
      <rPr>
        <sz val="9"/>
        <rFont val="Arial"/>
        <family val="2"/>
      </rPr>
      <t xml:space="preserve">:  The Commonwealth provides death and health benefits to the beneficiaries of certain law enforcement and rescue personnel disabled or killed in the line of duty.   
  4) </t>
    </r>
    <r>
      <rPr>
        <b/>
        <sz val="9"/>
        <rFont val="Arial"/>
        <family val="2"/>
      </rPr>
      <t>Commonwealth's Group Life Insurance Program</t>
    </r>
    <r>
      <rPr>
        <sz val="9"/>
        <rFont val="Arial"/>
        <family val="2"/>
      </rPr>
      <t xml:space="preserve">:  Eligible State employees who retire are entitled to postemployment life insurance benefits.  
  5)  </t>
    </r>
    <r>
      <rPr>
        <b/>
        <sz val="9"/>
        <rFont val="Arial"/>
        <family val="2"/>
      </rPr>
      <t>Commonwealth's Virginia Sickness and Disability Program (also known as the Disability Insurance Trust Fund)</t>
    </r>
    <r>
      <rPr>
        <sz val="9"/>
        <rFont val="Arial"/>
        <family val="2"/>
      </rPr>
      <t xml:space="preserve"> - The Commonwealth provides disability insurance benefits to eligible retired state employees. 
</t>
    </r>
  </si>
  <si>
    <r>
      <rPr>
        <b/>
        <sz val="9"/>
        <rFont val="Arial"/>
        <family val="2"/>
      </rPr>
      <t xml:space="preserve">11d) </t>
    </r>
    <r>
      <rPr>
        <sz val="9"/>
        <rFont val="Arial"/>
        <family val="2"/>
      </rPr>
      <t xml:space="preserve"> Provide the </t>
    </r>
    <r>
      <rPr>
        <b/>
        <sz val="9"/>
        <rFont val="Arial"/>
        <family val="2"/>
      </rPr>
      <t xml:space="preserve">net OPEB liability </t>
    </r>
    <r>
      <rPr>
        <sz val="9"/>
        <rFont val="Arial"/>
        <family val="2"/>
      </rPr>
      <t xml:space="preserve">$ amount for OPEB plan(s) </t>
    </r>
    <r>
      <rPr>
        <u/>
        <sz val="9"/>
        <rFont val="Arial"/>
        <family val="2"/>
      </rPr>
      <t xml:space="preserve">with a trust </t>
    </r>
    <r>
      <rPr>
        <sz val="9"/>
        <rFont val="Arial"/>
        <family val="2"/>
      </rPr>
      <t xml:space="preserve">and </t>
    </r>
    <r>
      <rPr>
        <u/>
        <sz val="9"/>
        <rFont val="Arial"/>
        <family val="2"/>
      </rPr>
      <t>not</t>
    </r>
    <r>
      <rPr>
        <sz val="9"/>
        <rFont val="Arial"/>
        <family val="2"/>
      </rPr>
      <t xml:space="preserve"> offered by the Commonwealth of Virginia </t>
    </r>
  </si>
  <si>
    <t xml:space="preserve">12b) Are there any enhanced* retirement benefits that are being reported that are not from the Commonwealth’s plans listed below? 
1)  VRS and VaLORS defined benefit pension plans
2)  Commonwealth's Pre-Medicare Retiree Healthcare Program
3)  Commonwealth's Retiree Health Insurance Credit Program
4)  Commonwealth's Group Life Insurance Benefits
5)  Commonwealth's Disability Insurance Trust Fund Program 
(*Note:  Enhanced retirement benefits is referring to enhancements to defined benefit pension or other postemployment benefit plans provided to hasten the termination of employees.)
</t>
  </si>
  <si>
    <r>
      <t>Part 3a</t>
    </r>
    <r>
      <rPr>
        <sz val="10"/>
        <rFont val="Arial"/>
        <family val="2"/>
      </rPr>
      <t xml:space="preserve">)  Does the foundation have any amounts invested in the </t>
    </r>
    <r>
      <rPr>
        <b/>
        <sz val="10"/>
        <rFont val="Arial"/>
        <family val="2"/>
      </rPr>
      <t>Local Government Investment Pool</t>
    </r>
    <r>
      <rPr>
        <sz val="10"/>
        <rFont val="Arial"/>
        <family val="2"/>
      </rPr>
      <t xml:space="preserve"> (LGIP) and/or the</t>
    </r>
    <r>
      <rPr>
        <b/>
        <sz val="10"/>
        <rFont val="Arial"/>
        <family val="2"/>
      </rPr>
      <t xml:space="preserve"> LGIP Extended Maturity</t>
    </r>
    <r>
      <rPr>
        <sz val="10"/>
        <rFont val="Arial"/>
        <family val="2"/>
      </rPr>
      <t xml:space="preserve"> (LGIP EM) during the year and/or as of year-end? </t>
    </r>
  </si>
  <si>
    <t>Drop-down list-LGIP EM:</t>
  </si>
  <si>
    <r>
      <t>Part 1a</t>
    </r>
    <r>
      <rPr>
        <sz val="10"/>
        <rFont val="Arial"/>
        <family val="2"/>
      </rPr>
      <t>) Provide the account numbers and year-end balances for amounts invested in the</t>
    </r>
    <r>
      <rPr>
        <b/>
        <sz val="10"/>
        <rFont val="Arial"/>
        <family val="2"/>
      </rPr>
      <t xml:space="preserve"> LGIP Extended Maturity (LGIP EM) </t>
    </r>
    <r>
      <rPr>
        <sz val="10"/>
        <rFont val="Arial"/>
        <family val="2"/>
      </rPr>
      <t>during the year and/or as of year-end by the foundation.</t>
    </r>
  </si>
  <si>
    <t>LGIP EM Account numbers:</t>
  </si>
  <si>
    <t xml:space="preserve">TAB F7-Part 5a </t>
  </si>
  <si>
    <t>TAB F7-Parts 2 &amp; 5b</t>
  </si>
  <si>
    <t>TAB F7-Part 6</t>
  </si>
  <si>
    <t>Notes Payable  (Pooled Bonds) - 
Note B</t>
  </si>
  <si>
    <t>Bonds Payable (issued through DOT- 9c) - Note B</t>
  </si>
  <si>
    <t>Bonds Payable (issued through DOT- 9d) - Note B</t>
  </si>
  <si>
    <t>Bonds Payable (issued by Institution-Institutional Debt) - Note B</t>
  </si>
  <si>
    <t>1)  events of default with finance-related consequences,</t>
  </si>
  <si>
    <t xml:space="preserve">2) termination events with finance-related consequences, and/or </t>
  </si>
  <si>
    <t>3) subjective acceleration clauses?</t>
  </si>
  <si>
    <t xml:space="preserve">      Treasury's Reimbursement Programs </t>
  </si>
  <si>
    <t>Total Other Postemployment Benefits (OPEB) / Net OPEB Liabilities</t>
  </si>
  <si>
    <t xml:space="preserve">Total Other Postemployment Benefits (OPEB) / Net OPEB Liabilities </t>
  </si>
  <si>
    <t>HEI - Net Other Postemployment Benefit - VSDP</t>
  </si>
  <si>
    <t>HEI  -Net Other Postemployment Benefit - VSDP</t>
  </si>
  <si>
    <r>
      <rPr>
        <b/>
        <sz val="9"/>
        <rFont val="Arial"/>
        <family val="2"/>
      </rPr>
      <t xml:space="preserve">11e) </t>
    </r>
    <r>
      <rPr>
        <sz val="9"/>
        <rFont val="Arial"/>
        <family val="2"/>
      </rPr>
      <t xml:space="preserve"> Provide the </t>
    </r>
    <r>
      <rPr>
        <b/>
        <sz val="9"/>
        <rFont val="Arial"/>
        <family val="2"/>
      </rPr>
      <t>Total</t>
    </r>
    <r>
      <rPr>
        <sz val="9"/>
        <rFont val="Arial"/>
        <family val="2"/>
      </rPr>
      <t xml:space="preserve"> </t>
    </r>
    <r>
      <rPr>
        <b/>
        <sz val="9"/>
        <rFont val="Arial"/>
        <family val="2"/>
      </rPr>
      <t xml:space="preserve">OPEB liability </t>
    </r>
    <r>
      <rPr>
        <sz val="9"/>
        <rFont val="Arial"/>
        <family val="2"/>
      </rPr>
      <t xml:space="preserve">$ amount for OPEB plans </t>
    </r>
    <r>
      <rPr>
        <u/>
        <sz val="9"/>
        <rFont val="Arial"/>
        <family val="2"/>
      </rPr>
      <t>not with a trust</t>
    </r>
    <r>
      <rPr>
        <sz val="9"/>
        <rFont val="Arial"/>
        <family val="2"/>
      </rPr>
      <t xml:space="preserve"> and </t>
    </r>
    <r>
      <rPr>
        <u/>
        <sz val="9"/>
        <rFont val="Arial"/>
        <family val="2"/>
      </rPr>
      <t xml:space="preserve">not </t>
    </r>
    <r>
      <rPr>
        <sz val="9"/>
        <rFont val="Arial"/>
        <family val="2"/>
      </rPr>
      <t>offered by the Commonwealth of Virginia</t>
    </r>
  </si>
  <si>
    <r>
      <t xml:space="preserve">Part 2c)  </t>
    </r>
    <r>
      <rPr>
        <sz val="10"/>
        <rFont val="Arial"/>
        <family val="2"/>
      </rPr>
      <t>If yes to 2a and/or 2b, are the foundation's demand bonds and/or bonds callable because of debt violations properly reported on the Combining FST in accordance with FASB standards?</t>
    </r>
  </si>
  <si>
    <t>see Note D</t>
  </si>
  <si>
    <r>
      <t>Note B</t>
    </r>
    <r>
      <rPr>
        <sz val="9"/>
        <rFont val="Arial"/>
        <family val="2"/>
      </rPr>
      <t>:  "</t>
    </r>
    <r>
      <rPr>
        <b/>
        <sz val="9"/>
        <rFont val="Arial"/>
        <family val="2"/>
      </rPr>
      <t>Foundation</t>
    </r>
    <r>
      <rPr>
        <sz val="9"/>
        <rFont val="Arial"/>
        <family val="2"/>
      </rPr>
      <t xml:space="preserve">" on this spreadsheet is defined as the HEI's discrete component unit(s) as required by </t>
    </r>
    <r>
      <rPr>
        <b/>
        <u/>
        <sz val="9"/>
        <rFont val="Arial"/>
        <family val="2"/>
      </rPr>
      <t>GASBS No. 39</t>
    </r>
    <r>
      <rPr>
        <sz val="9"/>
        <rFont val="Arial"/>
        <family val="2"/>
      </rPr>
      <t>.</t>
    </r>
  </si>
  <si>
    <r>
      <t>Advances (</t>
    </r>
    <r>
      <rPr>
        <b/>
        <u/>
        <sz val="9"/>
        <rFont val="Arial"/>
        <family val="2"/>
      </rPr>
      <t>GASBS No. 33</t>
    </r>
    <r>
      <rPr>
        <sz val="9"/>
        <rFont val="Arial"/>
        <family val="2"/>
      </rPr>
      <t>)</t>
    </r>
  </si>
  <si>
    <t>TAB 5-Part 1/Must agree to Att. HE-10a</t>
  </si>
  <si>
    <t>Must agree to Att. HE-10b</t>
  </si>
  <si>
    <r>
      <t>Note A</t>
    </r>
    <r>
      <rPr>
        <sz val="9"/>
        <rFont val="Arial"/>
        <family val="2"/>
      </rPr>
      <t>:  "</t>
    </r>
    <r>
      <rPr>
        <b/>
        <sz val="9"/>
        <rFont val="Arial"/>
        <family val="2"/>
      </rPr>
      <t>Foundation</t>
    </r>
    <r>
      <rPr>
        <sz val="9"/>
        <rFont val="Arial"/>
        <family val="2"/>
      </rPr>
      <t xml:space="preserve">" on this spreadsheet is defined as a discrete component unit(s) of the HEI as required by </t>
    </r>
    <r>
      <rPr>
        <b/>
        <u/>
        <sz val="9"/>
        <rFont val="Arial"/>
        <family val="2"/>
      </rPr>
      <t>GASBS No. 39</t>
    </r>
    <r>
      <rPr>
        <u/>
        <sz val="9"/>
        <rFont val="Arial"/>
        <family val="2"/>
      </rPr>
      <t>.</t>
    </r>
  </si>
  <si>
    <r>
      <t>Note B</t>
    </r>
    <r>
      <rPr>
        <sz val="9"/>
        <rFont val="Arial"/>
        <family val="2"/>
      </rPr>
      <t>:  "</t>
    </r>
    <r>
      <rPr>
        <b/>
        <sz val="9"/>
        <rFont val="Arial"/>
        <family val="2"/>
      </rPr>
      <t>Foundation</t>
    </r>
    <r>
      <rPr>
        <sz val="9"/>
        <rFont val="Arial"/>
        <family val="2"/>
      </rPr>
      <t xml:space="preserve">" on this spreadsheet is defined as the HEI's discrete component unit(s) as required by </t>
    </r>
    <r>
      <rPr>
        <b/>
        <u/>
        <sz val="9"/>
        <rFont val="Arial"/>
        <family val="2"/>
      </rPr>
      <t>GASBS No. 39</t>
    </r>
    <r>
      <rPr>
        <u/>
        <sz val="9"/>
        <rFont val="Arial"/>
        <family val="2"/>
      </rPr>
      <t>.</t>
    </r>
  </si>
  <si>
    <t>Are financial statements issued for the HEI and/or the foundations?</t>
  </si>
  <si>
    <t>If yes, do the row line item titles that are keyed into column C on the reconciliation tabs and the row total amounts agree to Supplemental Item 7, Draft SNP &amp; SRECNP?</t>
  </si>
  <si>
    <r>
      <t>Intangible Assets (</t>
    </r>
    <r>
      <rPr>
        <b/>
        <u/>
        <sz val="8"/>
        <rFont val="Arial"/>
        <family val="2"/>
      </rPr>
      <t>GASBS No. 51</t>
    </r>
    <r>
      <rPr>
        <sz val="8"/>
        <rFont val="Arial"/>
        <family val="2"/>
      </rPr>
      <t>)</t>
    </r>
  </si>
  <si>
    <r>
      <t xml:space="preserve">Note a:  Per </t>
    </r>
    <r>
      <rPr>
        <b/>
        <u/>
        <sz val="8"/>
        <rFont val="Arial"/>
        <family val="2"/>
      </rPr>
      <t>GASBS No. 42</t>
    </r>
    <r>
      <rPr>
        <sz val="8"/>
        <rFont val="Arial"/>
        <family val="2"/>
      </rPr>
      <t xml:space="preserve"> paragraph 21, if insurance recoveries are in the same year as the impairment loss, the impairment loss should </t>
    </r>
  </si>
  <si>
    <r>
      <t xml:space="preserve">Note b:  Per </t>
    </r>
    <r>
      <rPr>
        <b/>
        <u/>
        <sz val="8"/>
        <rFont val="Arial"/>
        <family val="2"/>
      </rPr>
      <t>GASBS No. 42</t>
    </r>
    <r>
      <rPr>
        <sz val="8"/>
        <rFont val="Arial"/>
        <family val="2"/>
      </rPr>
      <t xml:space="preserve"> paragraph 17-footnote 6, reporting impairment losses applies to insured impairments that result in an accounting gain.</t>
    </r>
  </si>
  <si>
    <r>
      <t xml:space="preserve">Note A:  Insurance recoveries for pollution remediation obligations are addressed in </t>
    </r>
    <r>
      <rPr>
        <b/>
        <u/>
        <sz val="8"/>
        <rFont val="Arial"/>
        <family val="2"/>
      </rPr>
      <t>GASBS No. 49</t>
    </r>
    <r>
      <rPr>
        <sz val="8"/>
        <rFont val="Arial"/>
        <family val="2"/>
      </rPr>
      <t xml:space="preserve">, </t>
    </r>
    <r>
      <rPr>
        <i/>
        <sz val="8"/>
        <rFont val="Arial"/>
        <family val="2"/>
      </rPr>
      <t>Accounting and Financial Reporting for Pollution Remediation Obligations.</t>
    </r>
  </si>
  <si>
    <r>
      <t xml:space="preserve">Note B:   If any of these bonds represent demand bonds and/or callable bonds because of a debt violation that must be reported as a current liability in accordance with GASB Interpretation 1 and/or </t>
    </r>
    <r>
      <rPr>
        <b/>
        <u/>
        <sz val="9"/>
        <rFont val="Arial"/>
        <family val="2"/>
      </rPr>
      <t>GASBS No. 62</t>
    </r>
    <r>
      <rPr>
        <sz val="9"/>
        <rFont val="Arial"/>
        <family val="2"/>
      </rPr>
      <t xml:space="preserve">, report on the applicable "due within one year"  FST line item.    Refer to GASB Interpretation 1 and </t>
    </r>
    <r>
      <rPr>
        <b/>
        <u/>
        <sz val="9"/>
        <rFont val="Arial"/>
        <family val="2"/>
      </rPr>
      <t>GASBS No. 62</t>
    </r>
    <r>
      <rPr>
        <sz val="9"/>
        <rFont val="Arial"/>
        <family val="2"/>
      </rPr>
      <t xml:space="preserve"> for guidance.</t>
    </r>
  </si>
  <si>
    <r>
      <t xml:space="preserve">Direct Borrowing as defined in
 </t>
    </r>
    <r>
      <rPr>
        <b/>
        <u/>
        <sz val="10"/>
        <rFont val="Arial"/>
        <family val="2"/>
      </rPr>
      <t>GASBS No. 88</t>
    </r>
  </si>
  <si>
    <r>
      <t xml:space="preserve">Direct Placement as defined in
 </t>
    </r>
    <r>
      <rPr>
        <b/>
        <u/>
        <sz val="10"/>
        <rFont val="Arial"/>
        <family val="2"/>
      </rPr>
      <t>GASBS No. 88</t>
    </r>
  </si>
  <si>
    <r>
      <t xml:space="preserve">Direct Borrowing as defined in 
</t>
    </r>
    <r>
      <rPr>
        <b/>
        <u/>
        <sz val="10"/>
        <rFont val="Arial"/>
        <family val="2"/>
      </rPr>
      <t>GASBS No. 88</t>
    </r>
  </si>
  <si>
    <r>
      <t xml:space="preserve">Direct Placement as defined in 
</t>
    </r>
    <r>
      <rPr>
        <b/>
        <u/>
        <sz val="10"/>
        <rFont val="Arial"/>
        <family val="2"/>
      </rPr>
      <t>GASBS No. 88</t>
    </r>
  </si>
  <si>
    <r>
      <t xml:space="preserve">Restricted assets represent monies or other resources that must be used for specific legal or contractual requirements.*  (Note*:  See Checklist tab item 7 for guidance on what to report on the Restricted Cash/Cash Equivalent/Investment line items.)  A description must be provided for amounts reported as Restricted Cash and Cash Equivalents, Restricted Investments, and/or Other Restricted Assets. If the HEI has amounts reported in any of these line items on the financial statement template, complete the following:
Note:  Guidance in Attachment HE-10b, </t>
    </r>
    <r>
      <rPr>
        <b/>
        <u/>
        <sz val="9"/>
        <rFont val="Arial"/>
        <family val="2"/>
      </rPr>
      <t>GASBS No. 75</t>
    </r>
    <r>
      <rPr>
        <sz val="9"/>
        <rFont val="Arial"/>
        <family val="2"/>
      </rPr>
      <t xml:space="preserve"> Entries, requires the VSDP Net OPEB Asset to be reported on the FST as Other Restricted Assets.</t>
    </r>
  </si>
  <si>
    <t>VSDP Net OPEB Asset</t>
  </si>
  <si>
    <r>
      <t xml:space="preserve"> If </t>
    </r>
    <r>
      <rPr>
        <b/>
        <sz val="9"/>
        <rFont val="Arial"/>
        <family val="2"/>
      </rPr>
      <t>yes</t>
    </r>
    <r>
      <rPr>
        <sz val="9"/>
        <rFont val="Arial"/>
        <family val="2"/>
      </rPr>
      <t xml:space="preserve">, provide disclosure information in accordance with </t>
    </r>
    <r>
      <rPr>
        <b/>
        <u/>
        <sz val="9"/>
        <rFont val="Arial"/>
        <family val="2"/>
      </rPr>
      <t>GASBS No. 33</t>
    </r>
    <r>
      <rPr>
        <sz val="9"/>
        <rFont val="Arial"/>
        <family val="2"/>
      </rPr>
      <t>, paragraph 11.</t>
    </r>
  </si>
  <si>
    <r>
      <t xml:space="preserve">If unearned revenue is reported on the financial statement template, does this represent revenue for student tuition accrued in advance of the semester and/or advance payments on grants and contracts and excludes amounts for certain items required to be reported as deferred inflows of resources in accordance with </t>
    </r>
    <r>
      <rPr>
        <b/>
        <u/>
        <sz val="9"/>
        <rFont val="Arial"/>
        <family val="2"/>
      </rPr>
      <t>GASBS No. 65</t>
    </r>
    <r>
      <rPr>
        <sz val="9"/>
        <rFont val="Arial"/>
        <family val="2"/>
      </rPr>
      <t>?</t>
    </r>
  </si>
  <si>
    <r>
      <rPr>
        <b/>
        <u/>
        <sz val="9"/>
        <rFont val="Arial"/>
        <family val="2"/>
      </rPr>
      <t>GASBS No. 38</t>
    </r>
    <r>
      <rPr>
        <sz val="9"/>
        <rFont val="Arial"/>
        <family val="2"/>
      </rPr>
      <t xml:space="preserve">, </t>
    </r>
    <r>
      <rPr>
        <i/>
        <sz val="9"/>
        <rFont val="Arial"/>
        <family val="2"/>
      </rPr>
      <t>Certain Financial Statement Note Disclosures,</t>
    </r>
    <r>
      <rPr>
        <sz val="9"/>
        <rFont val="Arial"/>
        <family val="2"/>
      </rPr>
      <t xml:space="preserve"> requires disclosure of any significant violations of finance-related legal or contractual provisions.  Does the HEI have any significant violations of finance-related legal or contractual provisions that need to be disclosed?</t>
    </r>
  </si>
  <si>
    <t>VSDP Net OPEB Asset (Must agree to Attachment HE-10b)</t>
  </si>
  <si>
    <r>
      <t xml:space="preserve">In addition to pensions, many state and local governmental employers provide other postemployment benefits (OPEB) as part of the total compensation offered to attract and retain the services of qualified employees. OPEB includes postemployment healthcare, as well as other forms of postemployment benefits (for example, life insurance) when provided separately from a pension plan. </t>
    </r>
    <r>
      <rPr>
        <b/>
        <u/>
        <sz val="9"/>
        <rFont val="Arial"/>
        <family val="2"/>
      </rPr>
      <t>GASBS No. 75</t>
    </r>
    <r>
      <rPr>
        <sz val="9"/>
        <rFont val="Arial"/>
        <family val="2"/>
      </rPr>
      <t xml:space="preserve"> establishes standards for the measurement, recognition, and display of OPEB expenses and related liabilities (assets), note disclosures, and, if applicable, required supplementary information (RSI) in the financial reports of state and local governmental employers.   </t>
    </r>
    <r>
      <rPr>
        <b/>
        <u/>
        <sz val="9"/>
        <rFont val="Arial"/>
        <family val="2"/>
      </rPr>
      <t>GASBS No. 85</t>
    </r>
    <r>
      <rPr>
        <sz val="9"/>
        <rFont val="Arial"/>
        <family val="2"/>
      </rPr>
      <t xml:space="preserve">, </t>
    </r>
    <r>
      <rPr>
        <i/>
        <sz val="9"/>
        <rFont val="Arial"/>
        <family val="2"/>
      </rPr>
      <t xml:space="preserve">Omnibus 2017, </t>
    </r>
    <r>
      <rPr>
        <sz val="9"/>
        <rFont val="Arial"/>
        <family val="2"/>
      </rPr>
      <t xml:space="preserve">amends </t>
    </r>
    <r>
      <rPr>
        <b/>
        <u/>
        <sz val="9"/>
        <rFont val="Arial"/>
        <family val="2"/>
      </rPr>
      <t>GASBS No. 75</t>
    </r>
    <r>
      <rPr>
        <sz val="9"/>
        <rFont val="Arial"/>
        <family val="2"/>
      </rPr>
      <t xml:space="preserve">.  A listing of state OPEBs follows:
</t>
    </r>
  </si>
  <si>
    <r>
      <rPr>
        <b/>
        <sz val="9"/>
        <rFont val="Arial"/>
        <family val="2"/>
      </rPr>
      <t>11a)</t>
    </r>
    <r>
      <rPr>
        <sz val="9"/>
        <rFont val="Arial"/>
        <family val="2"/>
      </rPr>
      <t xml:space="preserve">  Does the institution have any OPEBs that are administered by the institution and not by the Commonwealth of Virginia that are required to be reported in accordance with </t>
    </r>
    <r>
      <rPr>
        <b/>
        <u/>
        <sz val="9"/>
        <rFont val="Arial"/>
        <family val="2"/>
      </rPr>
      <t>GASBS No. 75</t>
    </r>
    <r>
      <rPr>
        <sz val="9"/>
        <rFont val="Arial"/>
        <family val="2"/>
      </rPr>
      <t xml:space="preserve">,  as amended by </t>
    </r>
    <r>
      <rPr>
        <b/>
        <u/>
        <sz val="9"/>
        <rFont val="Arial"/>
        <family val="2"/>
      </rPr>
      <t>GASBS No. 85</t>
    </r>
    <r>
      <rPr>
        <sz val="9"/>
        <rFont val="Arial"/>
        <family val="2"/>
      </rPr>
      <t>?</t>
    </r>
  </si>
  <si>
    <r>
      <rPr>
        <b/>
        <sz val="9"/>
        <rFont val="Arial"/>
        <family val="2"/>
      </rPr>
      <t>11b)</t>
    </r>
    <r>
      <rPr>
        <sz val="9"/>
        <rFont val="Arial"/>
        <family val="2"/>
      </rPr>
      <t xml:space="preserve"> Does the institution have a liability required to be reported in accordance with </t>
    </r>
    <r>
      <rPr>
        <b/>
        <u/>
        <sz val="9"/>
        <rFont val="Arial"/>
        <family val="2"/>
      </rPr>
      <t>GASBS No. 75</t>
    </r>
    <r>
      <rPr>
        <sz val="9"/>
        <rFont val="Arial"/>
        <family val="2"/>
      </rPr>
      <t xml:space="preserve">, as amended by </t>
    </r>
    <r>
      <rPr>
        <b/>
        <u/>
        <sz val="9"/>
        <rFont val="Arial"/>
        <family val="2"/>
      </rPr>
      <t>GASBS No. 85</t>
    </r>
    <r>
      <rPr>
        <sz val="9"/>
        <rFont val="Arial"/>
        <family val="2"/>
      </rPr>
      <t>, for an OPEB(s) that is not offered by the Commonwealth of Virginia?</t>
    </r>
  </si>
  <si>
    <r>
      <rPr>
        <b/>
        <sz val="9"/>
        <rFont val="Arial"/>
        <family val="2"/>
      </rPr>
      <t xml:space="preserve">11c) </t>
    </r>
    <r>
      <rPr>
        <sz val="9"/>
        <rFont val="Arial"/>
        <family val="2"/>
      </rPr>
      <t xml:space="preserve"> If yes, to 11a and/or 11b, does any of the OPEB plan(s) that are not offered by the Commonwealth have a trust that meets the requirements of </t>
    </r>
    <r>
      <rPr>
        <b/>
        <u/>
        <sz val="9"/>
        <rFont val="Arial"/>
        <family val="2"/>
      </rPr>
      <t>GASBS No. 75</t>
    </r>
    <r>
      <rPr>
        <sz val="9"/>
        <rFont val="Arial"/>
        <family val="2"/>
      </rPr>
      <t xml:space="preserve"> paragraph 4?</t>
    </r>
  </si>
  <si>
    <r>
      <t xml:space="preserve">13a) </t>
    </r>
    <r>
      <rPr>
        <b/>
        <sz val="9"/>
        <rFont val="Arial"/>
        <family val="2"/>
      </rPr>
      <t xml:space="preserve">Sales and Pledges of Receivables and Future Revenues </t>
    </r>
    <r>
      <rPr>
        <sz val="9"/>
        <rFont val="Arial"/>
        <family val="2"/>
      </rPr>
      <t xml:space="preserve">:  Does the HEI have any of the following types of transactions described in </t>
    </r>
    <r>
      <rPr>
        <b/>
        <u/>
        <sz val="9"/>
        <rFont val="Arial"/>
        <family val="2"/>
      </rPr>
      <t>GASBS No. 48</t>
    </r>
    <r>
      <rPr>
        <sz val="9"/>
        <rFont val="Arial"/>
        <family val="2"/>
      </rPr>
      <t xml:space="preserve">  either as a </t>
    </r>
    <r>
      <rPr>
        <b/>
        <sz val="9"/>
        <rFont val="Arial"/>
        <family val="2"/>
      </rPr>
      <t>transferor</t>
    </r>
    <r>
      <rPr>
        <sz val="9"/>
        <rFont val="Arial"/>
        <family val="2"/>
      </rPr>
      <t xml:space="preserve"> or </t>
    </r>
    <r>
      <rPr>
        <b/>
        <sz val="9"/>
        <rFont val="Arial"/>
        <family val="2"/>
      </rPr>
      <t>transferee</t>
    </r>
    <r>
      <rPr>
        <sz val="9"/>
        <rFont val="Arial"/>
        <family val="2"/>
      </rPr>
      <t xml:space="preserve">:  collateralized borrowings (pledging)* and/or sales of receivables and/or future revenues.  If yes, provide description of these transaction(s), name of the other entity involved in the transaction(s), </t>
    </r>
    <r>
      <rPr>
        <b/>
        <u/>
        <sz val="9"/>
        <rFont val="Arial"/>
        <family val="2"/>
      </rPr>
      <t>GASBS No. 48</t>
    </r>
    <r>
      <rPr>
        <sz val="9"/>
        <rFont val="Arial"/>
        <family val="2"/>
      </rPr>
      <t xml:space="preserve"> footnote disclosures, and indicate if this is an intra-entity transaction(s)**. 
*Note:  9c bonds payable are excluded from collateralized borrowings(pledging) of future revenues because even though the HEI makes the debt payments from the HEI's revenue streams, the full faith and credit of the Commonwealth has been pledged for the payment of principal and interest on the 9c bonds.  Per paragraph 3 of </t>
    </r>
    <r>
      <rPr>
        <b/>
        <u/>
        <sz val="9"/>
        <rFont val="Arial"/>
        <family val="2"/>
      </rPr>
      <t>GASBS No. 48</t>
    </r>
    <r>
      <rPr>
        <sz val="9"/>
        <rFont val="Arial"/>
        <family val="2"/>
      </rPr>
      <t xml:space="preserve">, this statement does not apply to a government's pledge of its "full faith and credit" as security for its own debt or the debt of a component unit. 
</t>
    </r>
  </si>
  <si>
    <r>
      <t xml:space="preserve">14a) </t>
    </r>
    <r>
      <rPr>
        <b/>
        <sz val="9"/>
        <rFont val="Arial"/>
        <family val="2"/>
      </rPr>
      <t xml:space="preserve">Obligating Events: </t>
    </r>
    <r>
      <rPr>
        <sz val="9"/>
        <rFont val="Arial"/>
        <family val="2"/>
      </rPr>
      <t xml:space="preserve"> Does the HEI know or reasonably believes a site is polluted/contaminated </t>
    </r>
    <r>
      <rPr>
        <b/>
        <sz val="9"/>
        <rFont val="Arial"/>
        <family val="2"/>
      </rPr>
      <t xml:space="preserve">and </t>
    </r>
    <r>
      <rPr>
        <sz val="9"/>
        <rFont val="Arial"/>
        <family val="2"/>
      </rPr>
      <t xml:space="preserve">an obligating event* as defined in </t>
    </r>
    <r>
      <rPr>
        <b/>
        <u/>
        <sz val="9"/>
        <rFont val="Arial"/>
        <family val="2"/>
      </rPr>
      <t>GASBS No. 49</t>
    </r>
    <r>
      <rPr>
        <sz val="9"/>
        <rFont val="Arial"/>
        <family val="2"/>
      </rPr>
      <t xml:space="preserve"> has occurred?  If yes, provide a description of the following: site, pollution/contamination, obligating event* as well as the month/year the obligating event took place, and estimated pollution remediation liability amount or indicate if amount or portions are not yet recognized because they are not reasonably estimable.  If no, go to Part 15.</t>
    </r>
  </si>
  <si>
    <r>
      <t xml:space="preserve">*Per </t>
    </r>
    <r>
      <rPr>
        <b/>
        <u/>
        <sz val="9"/>
        <rFont val="Arial"/>
        <family val="2"/>
      </rPr>
      <t>GASBS No. 49</t>
    </r>
    <r>
      <rPr>
        <sz val="9"/>
        <rFont val="Arial"/>
        <family val="2"/>
      </rPr>
      <t xml:space="preserve">, paragraph 11, an obligating event is when any of the following events occurs (refer to </t>
    </r>
    <r>
      <rPr>
        <b/>
        <u/>
        <sz val="9"/>
        <rFont val="Arial"/>
        <family val="2"/>
      </rPr>
      <t>GASBS No. 49</t>
    </r>
    <r>
      <rPr>
        <sz val="9"/>
        <rFont val="Arial"/>
        <family val="2"/>
      </rPr>
      <t xml:space="preserve"> for guidance):  </t>
    </r>
  </si>
  <si>
    <r>
      <t xml:space="preserve">1) </t>
    </r>
    <r>
      <rPr>
        <b/>
        <sz val="9"/>
        <rFont val="Arial"/>
        <family val="2"/>
      </rPr>
      <t>Hedging Derivative Instruments</t>
    </r>
    <r>
      <rPr>
        <sz val="9"/>
        <rFont val="Arial"/>
        <family val="2"/>
      </rPr>
      <t xml:space="preserve"> - Accumulated decrease in fair value of hedging derivative instruments (</t>
    </r>
    <r>
      <rPr>
        <b/>
        <u/>
        <sz val="9"/>
        <rFont val="Arial"/>
        <family val="2"/>
      </rPr>
      <t>GASBS No. 53</t>
    </r>
    <r>
      <rPr>
        <sz val="9"/>
        <rFont val="Arial"/>
        <family val="2"/>
      </rPr>
      <t xml:space="preserve">  paragraph 20)</t>
    </r>
  </si>
  <si>
    <r>
      <t xml:space="preserve">2) </t>
    </r>
    <r>
      <rPr>
        <b/>
        <sz val="9"/>
        <rFont val="Arial"/>
        <family val="2"/>
      </rPr>
      <t>Refundings of Debt</t>
    </r>
    <r>
      <rPr>
        <sz val="9"/>
        <rFont val="Arial"/>
        <family val="2"/>
      </rPr>
      <t xml:space="preserve"> - Deferral on debt defeasance - loss:  For current refundings and advance refundings resulting in debt defeasance and the reacquisition price exceeds the net carrying amount of the old debt  (</t>
    </r>
    <r>
      <rPr>
        <b/>
        <u/>
        <sz val="9"/>
        <rFont val="Arial"/>
        <family val="2"/>
      </rPr>
      <t>GASBS No. 65</t>
    </r>
    <r>
      <rPr>
        <sz val="9"/>
        <rFont val="Arial"/>
        <family val="2"/>
      </rPr>
      <t xml:space="preserve"> paragraphs 5 &amp;  6)</t>
    </r>
  </si>
  <si>
    <r>
      <t xml:space="preserve">4) </t>
    </r>
    <r>
      <rPr>
        <b/>
        <sz val="9"/>
        <rFont val="Arial"/>
        <family val="2"/>
      </rPr>
      <t>Government-Mandated &amp; Voluntary Nonexchange Transactions</t>
    </r>
    <r>
      <rPr>
        <sz val="9"/>
        <rFont val="Arial"/>
        <family val="2"/>
      </rPr>
      <t>:   Resources providers transmit to recipients before time requirements are met, but after the other eligibility requirements have been met  (</t>
    </r>
    <r>
      <rPr>
        <b/>
        <u/>
        <sz val="9"/>
        <rFont val="Arial"/>
        <family val="2"/>
      </rPr>
      <t>GASBS No. 65</t>
    </r>
    <r>
      <rPr>
        <sz val="9"/>
        <rFont val="Arial"/>
        <family val="2"/>
      </rPr>
      <t xml:space="preserve"> paragraphs 8 &amp; 10)</t>
    </r>
  </si>
  <si>
    <r>
      <t xml:space="preserve">5) </t>
    </r>
    <r>
      <rPr>
        <b/>
        <sz val="9"/>
        <rFont val="Arial"/>
        <family val="2"/>
      </rPr>
      <t>Intra-Entity Transfers of Future Revenues</t>
    </r>
    <r>
      <rPr>
        <sz val="9"/>
        <rFont val="Arial"/>
        <family val="2"/>
      </rPr>
      <t xml:space="preserve"> - Amount  the transferee government paid to the transferor government in an intra-entity sale of future revenues (</t>
    </r>
    <r>
      <rPr>
        <b/>
        <u/>
        <sz val="9"/>
        <rFont val="Arial"/>
        <family val="2"/>
      </rPr>
      <t>GASBS No. 65</t>
    </r>
    <r>
      <rPr>
        <sz val="9"/>
        <rFont val="Arial"/>
        <family val="2"/>
      </rPr>
      <t xml:space="preserve"> paragraphs 11 &amp; 13)</t>
    </r>
  </si>
  <si>
    <r>
      <t xml:space="preserve">7) </t>
    </r>
    <r>
      <rPr>
        <b/>
        <sz val="9"/>
        <rFont val="Arial"/>
        <family val="2"/>
      </rPr>
      <t>Mortgage Banking Activities</t>
    </r>
    <r>
      <rPr>
        <sz val="9"/>
        <rFont val="Arial"/>
        <family val="2"/>
      </rPr>
      <t xml:space="preserve"> -  Direct loan origination costs of loans held for sale until loan is sold   (</t>
    </r>
    <r>
      <rPr>
        <b/>
        <u/>
        <sz val="9"/>
        <rFont val="Arial"/>
        <family val="2"/>
      </rPr>
      <t>GASBS No. 65</t>
    </r>
    <r>
      <rPr>
        <sz val="9"/>
        <rFont val="Arial"/>
        <family val="2"/>
      </rPr>
      <t xml:space="preserve"> paragraphs 25 &amp; 26)
</t>
    </r>
  </si>
  <si>
    <r>
      <t xml:space="preserve">8) </t>
    </r>
    <r>
      <rPr>
        <b/>
        <sz val="9"/>
        <rFont val="Arial"/>
        <family val="2"/>
      </rPr>
      <t xml:space="preserve">Mortgage Banking Activities </t>
    </r>
    <r>
      <rPr>
        <sz val="9"/>
        <rFont val="Arial"/>
        <family val="2"/>
      </rPr>
      <t>- Fees paid to permanent investors  prior to the sale of the loans (</t>
    </r>
    <r>
      <rPr>
        <b/>
        <u/>
        <sz val="9"/>
        <rFont val="Arial"/>
        <family val="2"/>
      </rPr>
      <t>GASBS No. 65</t>
    </r>
    <r>
      <rPr>
        <sz val="9"/>
        <rFont val="Arial"/>
        <family val="2"/>
      </rPr>
      <t xml:space="preserve"> paragraphs 25 &amp; 27)</t>
    </r>
  </si>
  <si>
    <r>
      <t>9)</t>
    </r>
    <r>
      <rPr>
        <b/>
        <sz val="9"/>
        <rFont val="Arial"/>
        <family val="2"/>
      </rPr>
      <t xml:space="preserve"> Pension-Related </t>
    </r>
    <r>
      <rPr>
        <sz val="9"/>
        <rFont val="Arial"/>
        <family val="2"/>
      </rPr>
      <t>- VRS defined benefit pension plans (</t>
    </r>
    <r>
      <rPr>
        <b/>
        <u/>
        <sz val="9"/>
        <rFont val="Arial"/>
        <family val="2"/>
      </rPr>
      <t>GASBS No. 68</t>
    </r>
    <r>
      <rPr>
        <sz val="9"/>
        <rFont val="Arial"/>
        <family val="2"/>
      </rPr>
      <t xml:space="preserve">, as amended by </t>
    </r>
    <r>
      <rPr>
        <b/>
        <u/>
        <sz val="9"/>
        <rFont val="Arial"/>
        <family val="2"/>
      </rPr>
      <t>GASBS No. 73</t>
    </r>
    <r>
      <rPr>
        <u/>
        <sz val="9"/>
        <rFont val="Arial"/>
        <family val="2"/>
      </rPr>
      <t>)</t>
    </r>
  </si>
  <si>
    <r>
      <t>10)</t>
    </r>
    <r>
      <rPr>
        <b/>
        <sz val="9"/>
        <rFont val="Arial"/>
        <family val="2"/>
      </rPr>
      <t xml:space="preserve"> Pension-Related </t>
    </r>
    <r>
      <rPr>
        <sz val="9"/>
        <rFont val="Arial"/>
        <family val="2"/>
      </rPr>
      <t>- Other defined benefit pension plans (not with VRS) (</t>
    </r>
    <r>
      <rPr>
        <b/>
        <u/>
        <sz val="9"/>
        <rFont val="Arial"/>
        <family val="2"/>
      </rPr>
      <t>GASBS No. 68</t>
    </r>
    <r>
      <rPr>
        <sz val="9"/>
        <rFont val="Arial"/>
        <family val="2"/>
      </rPr>
      <t xml:space="preserve">, as amended by </t>
    </r>
    <r>
      <rPr>
        <b/>
        <u/>
        <sz val="9"/>
        <rFont val="Arial"/>
        <family val="2"/>
      </rPr>
      <t>GASBS No. 73</t>
    </r>
    <r>
      <rPr>
        <u/>
        <sz val="9"/>
        <rFont val="Arial"/>
        <family val="2"/>
      </rPr>
      <t>)</t>
    </r>
  </si>
  <si>
    <r>
      <t>11)</t>
    </r>
    <r>
      <rPr>
        <b/>
        <sz val="9"/>
        <rFont val="Arial"/>
        <family val="2"/>
      </rPr>
      <t xml:space="preserve"> Other Postemployment Benefits-Related </t>
    </r>
    <r>
      <rPr>
        <sz val="9"/>
        <rFont val="Arial"/>
        <family val="2"/>
      </rPr>
      <t>- VRS other postemployment benefit plans - with a trust (</t>
    </r>
    <r>
      <rPr>
        <b/>
        <u/>
        <sz val="9"/>
        <rFont val="Arial"/>
        <family val="2"/>
      </rPr>
      <t>GASBS No. 75</t>
    </r>
    <r>
      <rPr>
        <u/>
        <sz val="9"/>
        <rFont val="Arial"/>
        <family val="2"/>
      </rPr>
      <t>)</t>
    </r>
  </si>
  <si>
    <r>
      <t>13)</t>
    </r>
    <r>
      <rPr>
        <b/>
        <sz val="9"/>
        <rFont val="Arial"/>
        <family val="2"/>
      </rPr>
      <t xml:space="preserve"> Other Postemployment Benefits-Related </t>
    </r>
    <r>
      <rPr>
        <sz val="9"/>
        <rFont val="Arial"/>
        <family val="2"/>
      </rPr>
      <t>- Other postemployment benefit plans - with a trust (not with VRS) (</t>
    </r>
    <r>
      <rPr>
        <b/>
        <u/>
        <sz val="9"/>
        <rFont val="Arial"/>
        <family val="2"/>
      </rPr>
      <t>GASBS No. 75</t>
    </r>
    <r>
      <rPr>
        <u/>
        <sz val="9"/>
        <rFont val="Arial"/>
        <family val="2"/>
      </rPr>
      <t>)</t>
    </r>
  </si>
  <si>
    <r>
      <t>14)</t>
    </r>
    <r>
      <rPr>
        <b/>
        <sz val="9"/>
        <rFont val="Arial"/>
        <family val="2"/>
      </rPr>
      <t xml:space="preserve"> Other Postemployment Benefits-Related </t>
    </r>
    <r>
      <rPr>
        <sz val="9"/>
        <rFont val="Arial"/>
        <family val="2"/>
      </rPr>
      <t xml:space="preserve">- Other postemployment benefit plans - </t>
    </r>
    <r>
      <rPr>
        <u/>
        <sz val="9"/>
        <rFont val="Arial"/>
        <family val="2"/>
      </rPr>
      <t>not</t>
    </r>
    <r>
      <rPr>
        <sz val="9"/>
        <rFont val="Arial"/>
        <family val="2"/>
      </rPr>
      <t xml:space="preserve"> with a trust (not with DHRM) (</t>
    </r>
    <r>
      <rPr>
        <b/>
        <u/>
        <sz val="9"/>
        <rFont val="Arial"/>
        <family val="2"/>
      </rPr>
      <t>GASBS No. 75</t>
    </r>
    <r>
      <rPr>
        <u/>
        <sz val="9"/>
        <rFont val="Arial"/>
        <family val="2"/>
      </rPr>
      <t>)</t>
    </r>
  </si>
  <si>
    <r>
      <t xml:space="preserve">15) </t>
    </r>
    <r>
      <rPr>
        <b/>
        <sz val="9"/>
        <rFont val="Arial"/>
        <family val="2"/>
      </rPr>
      <t xml:space="preserve">Government Acquisition </t>
    </r>
    <r>
      <rPr>
        <sz val="9"/>
        <rFont val="Arial"/>
        <family val="2"/>
      </rPr>
      <t>- Excess consideration provided by acquiring government in government acquisition (</t>
    </r>
    <r>
      <rPr>
        <b/>
        <u/>
        <sz val="9"/>
        <rFont val="Arial"/>
        <family val="2"/>
      </rPr>
      <t>GASBS No. 69</t>
    </r>
    <r>
      <rPr>
        <sz val="9"/>
        <rFont val="Arial"/>
        <family val="2"/>
      </rPr>
      <t xml:space="preserve"> paragraph 39, as amended by </t>
    </r>
    <r>
      <rPr>
        <b/>
        <u/>
        <sz val="9"/>
        <rFont val="Arial"/>
        <family val="2"/>
      </rPr>
      <t>GASBS No. 85</t>
    </r>
    <r>
      <rPr>
        <sz val="9"/>
        <rFont val="Arial"/>
        <family val="2"/>
      </rPr>
      <t xml:space="preserve"> paragraph 5)</t>
    </r>
  </si>
  <si>
    <r>
      <t>12)</t>
    </r>
    <r>
      <rPr>
        <b/>
        <sz val="9"/>
        <rFont val="Arial"/>
        <family val="2"/>
      </rPr>
      <t xml:space="preserve"> Other Postemployment Benefits-Related </t>
    </r>
    <r>
      <rPr>
        <sz val="9"/>
        <rFont val="Arial"/>
        <family val="2"/>
      </rPr>
      <t xml:space="preserve">- DHRM other postemployment benefit plan - </t>
    </r>
    <r>
      <rPr>
        <u/>
        <sz val="9"/>
        <rFont val="Arial"/>
        <family val="2"/>
      </rPr>
      <t>not</t>
    </r>
    <r>
      <rPr>
        <sz val="9"/>
        <rFont val="Arial"/>
        <family val="2"/>
      </rPr>
      <t xml:space="preserve"> with a trust  (pre-medicare) (</t>
    </r>
    <r>
      <rPr>
        <b/>
        <u/>
        <sz val="9"/>
        <rFont val="Arial"/>
        <family val="2"/>
      </rPr>
      <t>GASBS No. 75</t>
    </r>
    <r>
      <rPr>
        <u/>
        <sz val="9"/>
        <rFont val="Arial"/>
        <family val="2"/>
      </rPr>
      <t>)</t>
    </r>
  </si>
  <si>
    <r>
      <t xml:space="preserve">16) </t>
    </r>
    <r>
      <rPr>
        <b/>
        <sz val="9"/>
        <rFont val="Arial"/>
        <family val="2"/>
      </rPr>
      <t xml:space="preserve">Asset Retirement Obligations (ARO) </t>
    </r>
    <r>
      <rPr>
        <sz val="9"/>
        <rFont val="Arial"/>
        <family val="2"/>
      </rPr>
      <t>- Amount associated with a legally enforceable liability associated with the retirement of selected capital assets (</t>
    </r>
    <r>
      <rPr>
        <b/>
        <u/>
        <sz val="9"/>
        <rFont val="Arial"/>
        <family val="2"/>
      </rPr>
      <t>GASBS No. 83</t>
    </r>
    <r>
      <rPr>
        <sz val="9"/>
        <rFont val="Arial"/>
        <family val="2"/>
      </rPr>
      <t>)</t>
    </r>
  </si>
  <si>
    <r>
      <t xml:space="preserve">1)  </t>
    </r>
    <r>
      <rPr>
        <b/>
        <sz val="9"/>
        <rFont val="Arial"/>
        <family val="2"/>
      </rPr>
      <t xml:space="preserve">Hedging Derivative Instruments </t>
    </r>
    <r>
      <rPr>
        <sz val="9"/>
        <rFont val="Arial"/>
        <family val="2"/>
      </rPr>
      <t>- Accumulated increase in fair value of hedging derivative instruments (</t>
    </r>
    <r>
      <rPr>
        <b/>
        <u/>
        <sz val="9"/>
        <rFont val="Arial"/>
        <family val="2"/>
      </rPr>
      <t>GASBS No. 53</t>
    </r>
    <r>
      <rPr>
        <sz val="9"/>
        <rFont val="Arial"/>
        <family val="2"/>
      </rPr>
      <t xml:space="preserve"> paragraph 20)</t>
    </r>
  </si>
  <si>
    <r>
      <t xml:space="preserve">FST line item, general description of the items, and additional disclosures required by </t>
    </r>
    <r>
      <rPr>
        <b/>
        <u/>
        <sz val="9"/>
        <rFont val="Arial"/>
        <family val="2"/>
      </rPr>
      <t>GASBS No. 72</t>
    </r>
    <r>
      <rPr>
        <u/>
        <sz val="9"/>
        <rFont val="Arial"/>
        <family val="2"/>
      </rPr>
      <t xml:space="preserve">. </t>
    </r>
    <r>
      <rPr>
        <sz val="9"/>
        <rFont val="Arial"/>
        <family val="2"/>
      </rPr>
      <t>(This information may be submitted in a separate document along with the Attachment HE-10.)</t>
    </r>
  </si>
  <si>
    <r>
      <t xml:space="preserve">"Foundation" on this spreadsheet is defined as a discrete component unit(s) of the HEI as required by </t>
    </r>
    <r>
      <rPr>
        <b/>
        <u/>
        <sz val="9"/>
        <rFont val="Arial"/>
        <family val="2"/>
      </rPr>
      <t>GASBS No. 39</t>
    </r>
    <r>
      <rPr>
        <u/>
        <sz val="9"/>
        <rFont val="Arial"/>
        <family val="2"/>
      </rPr>
      <t>.</t>
    </r>
  </si>
  <si>
    <r>
      <t xml:space="preserve">If </t>
    </r>
    <r>
      <rPr>
        <b/>
        <sz val="10"/>
        <rFont val="Arial"/>
        <family val="2"/>
      </rPr>
      <t xml:space="preserve">yes,  </t>
    </r>
    <r>
      <rPr>
        <sz val="10"/>
        <rFont val="Arial"/>
        <family val="2"/>
      </rPr>
      <t>complete TAB F2, SNAP &amp; LGIP, Part 1 for LGIP and/or Part 1a for LGIP EM.</t>
    </r>
  </si>
  <si>
    <r>
      <t>Part 1</t>
    </r>
    <r>
      <rPr>
        <sz val="10"/>
        <rFont val="Arial"/>
        <family val="2"/>
      </rPr>
      <t>) Provide the account numbers and year-end balances for amounts invested in the</t>
    </r>
    <r>
      <rPr>
        <b/>
        <sz val="10"/>
        <rFont val="Arial"/>
        <family val="2"/>
      </rPr>
      <t xml:space="preserve"> Local Government Investment Pool (LGIP) </t>
    </r>
    <r>
      <rPr>
        <sz val="10"/>
        <rFont val="Arial"/>
        <family val="2"/>
      </rPr>
      <t>during the year and/or as of year-end by the foundation.  (Note:  Complete the Part 1a for any LGIP EM accounts.)</t>
    </r>
  </si>
  <si>
    <r>
      <t xml:space="preserve">"Foundation" on this spreadsheet is defined as a discrete component unit(s) of the HEI as required by </t>
    </r>
    <r>
      <rPr>
        <b/>
        <u/>
        <sz val="9"/>
        <rFont val="Arial"/>
        <family val="2"/>
      </rPr>
      <t>GASBS No. 39</t>
    </r>
    <r>
      <rPr>
        <sz val="9"/>
        <rFont val="Arial"/>
        <family val="2"/>
      </rPr>
      <t xml:space="preserve">. </t>
    </r>
  </si>
  <si>
    <r>
      <t xml:space="preserve">"Foundation" on this spreadsheet is defined as a discrete component unit(s) of the HEI as required by </t>
    </r>
    <r>
      <rPr>
        <b/>
        <u/>
        <sz val="9"/>
        <rFont val="Arial"/>
        <family val="2"/>
      </rPr>
      <t>GASBS No. 39.</t>
    </r>
  </si>
  <si>
    <r>
      <t xml:space="preserve">Part 2b)  Callable Bonds because of Debt Violations:  </t>
    </r>
    <r>
      <rPr>
        <sz val="10"/>
        <rFont val="Arial"/>
        <family val="2"/>
      </rPr>
      <t>Are any of the bonds reported in Part 2 callable by the creditor because there has been a violation of the debt agreement as of year-end or because the violation, if not cured within a specified grace period, will make the bonds callable?  If yes, provide the foundation, description, outstanding balance as of year-end, description of the violation that caused the bonds to become callable, and indicate if these callable bonds are required to be reported as a current liability (due within one year) in accordance with FASB standards.</t>
    </r>
  </si>
  <si>
    <r>
      <t xml:space="preserve">"Foundation" on this spreadsheet is defined as a discrete component unit(s) of the HEI as required by </t>
    </r>
    <r>
      <rPr>
        <b/>
        <u/>
        <sz val="9"/>
        <rFont val="Arial"/>
        <family val="2"/>
      </rPr>
      <t>GASBS No. 39</t>
    </r>
    <r>
      <rPr>
        <sz val="9"/>
        <rFont val="Arial"/>
        <family val="2"/>
      </rPr>
      <t xml:space="preserve">.  </t>
    </r>
  </si>
  <si>
    <r>
      <t>"Foundation" on this spreadsheet is defined as the HEI's discrete component unit(s) as required by</t>
    </r>
    <r>
      <rPr>
        <b/>
        <sz val="9"/>
        <rFont val="Arial"/>
        <family val="2"/>
      </rPr>
      <t xml:space="preserve"> </t>
    </r>
    <r>
      <rPr>
        <b/>
        <u/>
        <sz val="9"/>
        <rFont val="Arial"/>
        <family val="2"/>
      </rPr>
      <t>GASBS No. 39</t>
    </r>
    <r>
      <rPr>
        <sz val="9"/>
        <rFont val="Arial"/>
        <family val="2"/>
      </rPr>
      <t>.</t>
    </r>
  </si>
  <si>
    <t>Net Otherpostemployment Benefit Obligations (OPEB) Liabilities</t>
  </si>
  <si>
    <t>Total OPEB Liabilities</t>
  </si>
  <si>
    <t>Contributions to Permanent &amp; Term Endowments</t>
  </si>
  <si>
    <t>Net OPEB Liability</t>
  </si>
  <si>
    <t>Total OPEB Liability</t>
  </si>
  <si>
    <t>Net OPEB Liabilities</t>
  </si>
  <si>
    <t>Contributions to Permanent and Term Endowments</t>
  </si>
  <si>
    <t xml:space="preserve">     Contributions to Permanent and Term Endowments</t>
  </si>
  <si>
    <t>Net Other Postemployment Benefits (OPEB) Liabilities</t>
  </si>
  <si>
    <t>Total Other Postemployment Benefits (OPEB) Liabilities</t>
  </si>
  <si>
    <t>LT Liabilities: Due Within One Year - Net Other Postemployment Benefits (OPEB) Liabilities</t>
  </si>
  <si>
    <t>LT Liabilities: Due Within One Year - Total Other Postemployment Benefits (OPEB) Liabilities</t>
  </si>
  <si>
    <t>LT Liabilities: Due in More Than One Year - Net Other Postemployment Benefits (OPEB) Liabilities</t>
  </si>
  <si>
    <t>LT Liabilities: Due in More Than One Year - Total Other Postemployment Benefits (OPEB) Liabilities</t>
  </si>
  <si>
    <t xml:space="preserve">Net Pension Liability  </t>
  </si>
  <si>
    <t>Amounts Due in More Than One Year: (see Note D)</t>
  </si>
  <si>
    <r>
      <rPr>
        <b/>
        <u/>
        <sz val="10"/>
        <rFont val="Arial"/>
        <family val="2"/>
      </rPr>
      <t>GASBS No. 88</t>
    </r>
    <r>
      <rPr>
        <b/>
        <sz val="10"/>
        <rFont val="Arial"/>
        <family val="2"/>
      </rPr>
      <t>- Direct Placements</t>
    </r>
  </si>
  <si>
    <t xml:space="preserve">  If yes, please provide amount and description.</t>
  </si>
  <si>
    <r>
      <t xml:space="preserve">Note:  Fiduciary activity that must be reported on the Statement of Fiduciary Net Position and Statement of Changes in Fiduciary Net Position pursuant to </t>
    </r>
    <r>
      <rPr>
        <b/>
        <u/>
        <sz val="10"/>
        <color rgb="FFFF0000"/>
        <rFont val="Arial"/>
        <family val="2"/>
      </rPr>
      <t>GASBS No. 84</t>
    </r>
    <r>
      <rPr>
        <b/>
        <sz val="10"/>
        <color rgb="FFFF0000"/>
        <rFont val="Arial"/>
        <family val="2"/>
      </rPr>
      <t xml:space="preserve"> should be excluded from this attachment.</t>
    </r>
  </si>
  <si>
    <t>be eliminated.  TABs 1A and 2 through 9 must be completed for the HEI's footnotes/other information.</t>
  </si>
  <si>
    <t>TAB 5-Part 1/Must agree to Att. HE-10b TAB 1-VRS</t>
  </si>
  <si>
    <t>TAB 5-Part 1/Must agree to Att. HE-10b TAB 2-DHRM</t>
  </si>
  <si>
    <t xml:space="preserve">     State Appropriation Revenue - Operating (see Note E on the last page) :</t>
  </si>
  <si>
    <t>Total State Appropriation Revenue: Operating (see Note E)</t>
  </si>
  <si>
    <t>a) Are there any significant intrafund balance/activity amounts reported on the FST and not eliminated because the HEI has a June 30 year-end and the foundation has an August 31, December 31 or March 31 year-end?</t>
  </si>
  <si>
    <t>1)  The foundation has an August 31, December 31 or March 31 year-end.</t>
  </si>
  <si>
    <t>Receivables, Net.</t>
  </si>
  <si>
    <t>2027 &amp; Thereafter</t>
  </si>
  <si>
    <r>
      <rPr>
        <b/>
        <sz val="10"/>
        <rFont val="Arial"/>
        <family val="2"/>
      </rPr>
      <t>Part 2</t>
    </r>
    <r>
      <rPr>
        <sz val="10"/>
        <rFont val="Arial"/>
        <family val="2"/>
      </rPr>
      <t xml:space="preserve">)  Provide information regarding </t>
    </r>
    <r>
      <rPr>
        <b/>
        <sz val="10"/>
        <rFont val="Arial"/>
        <family val="2"/>
      </rPr>
      <t xml:space="preserve">Bonds Payable </t>
    </r>
    <r>
      <rPr>
        <sz val="10"/>
        <rFont val="Arial"/>
        <family val="2"/>
      </rPr>
      <t>amounts as of year-end reported by the foundation(s).</t>
    </r>
  </si>
  <si>
    <r>
      <t>Part 3</t>
    </r>
    <r>
      <rPr>
        <sz val="10"/>
        <rFont val="Arial"/>
        <family val="2"/>
      </rPr>
      <t xml:space="preserve">)  Provide information regarding </t>
    </r>
    <r>
      <rPr>
        <b/>
        <sz val="10"/>
        <rFont val="Arial"/>
        <family val="2"/>
      </rPr>
      <t xml:space="preserve">Long-Term Liabilities - Other  </t>
    </r>
    <r>
      <rPr>
        <sz val="10"/>
        <rFont val="Arial"/>
        <family val="2"/>
      </rPr>
      <t>amounts as of year-end reported by the foundation(s).</t>
    </r>
  </si>
  <si>
    <r>
      <t>Part 4</t>
    </r>
    <r>
      <rPr>
        <sz val="10"/>
        <rFont val="Arial"/>
        <family val="2"/>
      </rPr>
      <t xml:space="preserve">)  Provide information regarding </t>
    </r>
    <r>
      <rPr>
        <b/>
        <sz val="10"/>
        <rFont val="Arial"/>
        <family val="2"/>
      </rPr>
      <t>Claims Payable</t>
    </r>
    <r>
      <rPr>
        <sz val="10"/>
        <rFont val="Arial"/>
        <family val="2"/>
      </rPr>
      <t xml:space="preserve"> as of year-end reported by the foundation(s).</t>
    </r>
  </si>
  <si>
    <t>Note C:  This Total Long-Term Liabilities - Other must agree to the Long-Term Liabilities - Other-Due Within One Year plus the Long-Term Liabilities - Other -Due in More Than One Year reported on the Combining FST tab in the Foundation(s) Year-End Totals column.  If not, an "ERROR" message will appear.  Make corrections as deemed necessary.</t>
  </si>
  <si>
    <t>Note D:  This Total Claims Payable must agree to Claims Payable-Due Within One Year and the Claims Payable- Due in More Than One Year  reported on the Combining FST tab in the Foundation(s) Year-End Totals column.  If not, an "ERROR" message will appear.  Make corrections as deemed necessary.</t>
  </si>
  <si>
    <t>TAB F5-Part 4</t>
  </si>
  <si>
    <t>TAB F5 -Part 3</t>
  </si>
  <si>
    <t>SNAP Individual Portfolio Account #</t>
  </si>
  <si>
    <t>Financing arrangements covered by the Treasury Board master equipment lease program must also be reported as installment</t>
  </si>
  <si>
    <t>Due within 1 year Variance Check Figure</t>
  </si>
  <si>
    <r>
      <t xml:space="preserve">and is backed and secured by institutional funds.  Institutional debt is </t>
    </r>
    <r>
      <rPr>
        <b/>
        <sz val="9"/>
        <rFont val="Arial"/>
        <family val="2"/>
      </rPr>
      <t xml:space="preserve">not </t>
    </r>
    <r>
      <rPr>
        <sz val="9"/>
        <rFont val="Arial"/>
        <family val="2"/>
      </rPr>
      <t>issued through the Department of Treasury (DOT).</t>
    </r>
  </si>
  <si>
    <r>
      <t xml:space="preserve">Total </t>
    </r>
    <r>
      <rPr>
        <b/>
        <u/>
        <sz val="10"/>
        <rFont val="Arial"/>
        <family val="2"/>
      </rPr>
      <t>GASBS No. 88</t>
    </r>
    <r>
      <rPr>
        <b/>
        <sz val="10"/>
        <rFont val="Arial"/>
        <family val="2"/>
      </rPr>
      <t>- Other &amp; Direct Placements</t>
    </r>
  </si>
  <si>
    <t>Interest rate swap(s) in negative position</t>
  </si>
  <si>
    <t>Note A1</t>
  </si>
  <si>
    <t>Note B1</t>
  </si>
  <si>
    <t>Note D1</t>
  </si>
  <si>
    <t>Note E1</t>
  </si>
  <si>
    <t>Due within 1 year Variance Check Figures</t>
  </si>
  <si>
    <t xml:space="preserve">There should be no "Error" messages or cells with "Answer Required".  Have you reviewed the submission and removed all Error messages and answered all questions?  If not, investigate and make corrections as deemed necessary.
</t>
  </si>
  <si>
    <r>
      <t>"Other" Line Items</t>
    </r>
    <r>
      <rPr>
        <sz val="9"/>
        <rFont val="Arial"/>
        <family val="2"/>
      </rPr>
      <t>:  Are amounts reported on "Other" line items reasonable and has a description* been provided?
Note*:  In prior years, DOA had to make reclassifications because some amounts reported on "Other" line items should have been reported on a more descriptive line item.  Descriptions for "Other" line items are to be provided in the TAB 7 Parts 9 &amp; 10, and TAB 5 Part 1 for the HEI and in the TAB F7 Parts 5 &amp; 6, and TAB F5 Part 3 for the foundations.</t>
    </r>
  </si>
  <si>
    <t>Note D:  If a foundation has a pension or OPEB liability, report those amounts on the applicable long-term liabilities - other line item(s) on this tab and provide a description on the TAB F5 Part 3.</t>
  </si>
  <si>
    <r>
      <t>Long-term Lease Liability (</t>
    </r>
    <r>
      <rPr>
        <b/>
        <u/>
        <sz val="9"/>
        <rFont val="Arial"/>
        <family val="2"/>
      </rPr>
      <t>GASBS No. 87</t>
    </r>
    <r>
      <rPr>
        <sz val="9"/>
        <rFont val="Arial"/>
        <family val="2"/>
      </rPr>
      <t>)</t>
    </r>
  </si>
  <si>
    <t>Other Capital Assets:</t>
  </si>
  <si>
    <t>Other Intangibles</t>
  </si>
  <si>
    <t xml:space="preserve">     Buildings</t>
  </si>
  <si>
    <t xml:space="preserve">     Equipment</t>
  </si>
  <si>
    <t xml:space="preserve">     Infrastructure</t>
  </si>
  <si>
    <t xml:space="preserve">    Other Intangibles- provide description</t>
  </si>
  <si>
    <t xml:space="preserve">          Land</t>
  </si>
  <si>
    <t xml:space="preserve">          Buildings</t>
  </si>
  <si>
    <t xml:space="preserve">          Equipment</t>
  </si>
  <si>
    <t xml:space="preserve">          Infrastructure</t>
  </si>
  <si>
    <t xml:space="preserve">          Other Intangibles</t>
  </si>
  <si>
    <t xml:space="preserve">          Total Accumulated Amortization</t>
  </si>
  <si>
    <t xml:space="preserve">   Total Other Capital Assets, Net</t>
  </si>
  <si>
    <t>Reduction in lease asset and liability</t>
  </si>
  <si>
    <t>Additional impairment loss ( in excess of the reduction in asset and liability)</t>
  </si>
  <si>
    <t xml:space="preserve">     Land</t>
  </si>
  <si>
    <t xml:space="preserve">   Total Accumulated Depreciation and Amortization</t>
  </si>
  <si>
    <t>Nondepreciable Capital Assets</t>
  </si>
  <si>
    <t xml:space="preserve">TAB 3/TAB 9 </t>
  </si>
  <si>
    <t>Other Capital Assets, Net</t>
  </si>
  <si>
    <t>Total Capital Assets, Net</t>
  </si>
  <si>
    <t>check figure:</t>
  </si>
  <si>
    <r>
      <t>Right-to-Use Intangible Assets (</t>
    </r>
    <r>
      <rPr>
        <b/>
        <u/>
        <sz val="8"/>
        <rFont val="Arial"/>
        <family val="2"/>
      </rPr>
      <t>GASBS No. 87)</t>
    </r>
  </si>
  <si>
    <t xml:space="preserve">Infrastructure </t>
  </si>
  <si>
    <t>Other Intangibles-provide description</t>
  </si>
  <si>
    <t>Less Accumulated Amortization for:</t>
  </si>
  <si>
    <t xml:space="preserve">      Total Accumulated Amortization</t>
  </si>
  <si>
    <t>Total Accumulated Depreciation and Amortization</t>
  </si>
  <si>
    <t>TAB F4/ TAB F11</t>
  </si>
  <si>
    <t>TAB F4/ TAB F12</t>
  </si>
  <si>
    <t>TAB F4/ TAB F13</t>
  </si>
  <si>
    <t>TAB F4/ TAB F14</t>
  </si>
  <si>
    <t>TAB F4/ TAB F15</t>
  </si>
  <si>
    <t>TAB F4/ TAB F16</t>
  </si>
  <si>
    <t>TAB F4/ TAB F17</t>
  </si>
  <si>
    <t>TAB F4/ TAB F18</t>
  </si>
  <si>
    <t>TAB 3- Part 4/ TAB 9</t>
  </si>
  <si>
    <t>TAB 3- Part 4/ TAB 10</t>
  </si>
  <si>
    <t>TAB 3- Part 4/ TAB 11</t>
  </si>
  <si>
    <t>TAB 3- Part 4/ TAB 12</t>
  </si>
  <si>
    <t>TAB 3- Part 4/ TAB 13</t>
  </si>
  <si>
    <t>TAB 3- Part 4/ TAB 14</t>
  </si>
  <si>
    <t>TAB 3- Part 4/ TAB 15</t>
  </si>
  <si>
    <t>TAB 3- Part 4/ TAB 16</t>
  </si>
  <si>
    <t>TAB 3- Part 4/ TAB 17</t>
  </si>
  <si>
    <t>TAB 3- Part 4/ TAB 18</t>
  </si>
  <si>
    <t>TAB 3- Part 4/ TAB 19</t>
  </si>
  <si>
    <t>TAB 3- Part 4/ TAB 20</t>
  </si>
  <si>
    <t>TAB 3- Part 4/ TAB 21</t>
  </si>
  <si>
    <t>TAB 3- Part 4/ TAB 22</t>
  </si>
  <si>
    <t>TAB F4/ TAB F19</t>
  </si>
  <si>
    <t>TAB F4/ TAB F20</t>
  </si>
  <si>
    <t>TAB F4/ TAB F21</t>
  </si>
  <si>
    <t>TAB F4/ TAB F22</t>
  </si>
  <si>
    <t>TAB F4/ TAB F23</t>
  </si>
  <si>
    <t xml:space="preserve">TAB F4/ TAB F10 </t>
  </si>
  <si>
    <r>
      <t xml:space="preserve">Long-term Lease Liability </t>
    </r>
    <r>
      <rPr>
        <b/>
        <u/>
        <sz val="9"/>
        <rFont val="Arial"/>
        <family val="2"/>
      </rPr>
      <t>(GASBS No.87)</t>
    </r>
  </si>
  <si>
    <r>
      <t xml:space="preserve">Part 3) </t>
    </r>
    <r>
      <rPr>
        <sz val="10"/>
        <rFont val="Arial"/>
        <family val="2"/>
      </rPr>
      <t xml:space="preserve">Provide future </t>
    </r>
    <r>
      <rPr>
        <b/>
        <sz val="10"/>
        <rFont val="Arial"/>
        <family val="2"/>
      </rPr>
      <t>Installment Purchase Obligation</t>
    </r>
    <r>
      <rPr>
        <sz val="10"/>
        <rFont val="Arial"/>
        <family val="2"/>
      </rPr>
      <t xml:space="preserve"> Payments reported by the foundation(s) as of year-end.</t>
    </r>
  </si>
  <si>
    <t xml:space="preserve">Note G:  This Installment Purchase Obligation Total  must agree to the amount reported on the Combining FST tab.  If not, an "ERROR" message will appear.  Make corrections as deemed necessary.  </t>
  </si>
  <si>
    <t>Note H:  The Installment Purchase Obligation Total must agree to the elimination entries reported on the Elimination Entries to FST for the foundations.  If not, an "ERROR" message will appear.  Make corrections as deemed necessary.</t>
  </si>
  <si>
    <t>Note I:  This Installment Purchase Obligation Total after All Elimination Entries must agree to the amounts reported on the FST in the Foundation(s) column plus the Elimination Entries to FST in the Foundation(s) column.  If not, an "ERROR" message will appear.  Make corrections as deemed necessary.</t>
  </si>
  <si>
    <t>Note G1</t>
  </si>
  <si>
    <r>
      <t>Part 3a):</t>
    </r>
    <r>
      <rPr>
        <sz val="9"/>
        <rFont val="Arial"/>
        <family val="2"/>
      </rPr>
      <t xml:space="preserve"> Did the Institution recognize any variable lease payments that were NOT previously included in the measurement of the lease liability? </t>
    </r>
    <r>
      <rPr>
        <b/>
        <sz val="9"/>
        <rFont val="Arial"/>
        <family val="2"/>
      </rPr>
      <t xml:space="preserve">
</t>
    </r>
    <r>
      <rPr>
        <sz val="9"/>
        <rFont val="Arial"/>
        <family val="2"/>
      </rPr>
      <t xml:space="preserve">If </t>
    </r>
    <r>
      <rPr>
        <b/>
        <sz val="9"/>
        <rFont val="Arial"/>
        <family val="2"/>
      </rPr>
      <t>yes</t>
    </r>
    <r>
      <rPr>
        <sz val="9"/>
        <rFont val="Arial"/>
        <family val="2"/>
      </rPr>
      <t>, provide explanation below including payment amounts. If no, leave the yellow space blank.</t>
    </r>
  </si>
  <si>
    <r>
      <t>Part 3b):</t>
    </r>
    <r>
      <rPr>
        <sz val="9"/>
        <rFont val="Arial"/>
        <family val="2"/>
      </rPr>
      <t xml:space="preserve"> Did the Institution recognize any other payments for penalties or residual value guarantees that were NOT previously included in the measurement of the lease liability?
If </t>
    </r>
    <r>
      <rPr>
        <b/>
        <sz val="9"/>
        <rFont val="Arial"/>
        <family val="2"/>
      </rPr>
      <t>yes</t>
    </r>
    <r>
      <rPr>
        <sz val="9"/>
        <rFont val="Arial"/>
        <family val="2"/>
      </rPr>
      <t xml:space="preserve">, provide explanation below including payment amounts. If </t>
    </r>
    <r>
      <rPr>
        <b/>
        <sz val="9"/>
        <rFont val="Arial"/>
        <family val="2"/>
      </rPr>
      <t>no</t>
    </r>
    <r>
      <rPr>
        <sz val="9"/>
        <rFont val="Arial"/>
        <family val="2"/>
      </rPr>
      <t>, leave the yellow space blank.</t>
    </r>
  </si>
  <si>
    <t>TAB 5-Parts 1 &amp; 3/TAB 9</t>
  </si>
  <si>
    <r>
      <t>Part 3)  Long-term Lease Liability (</t>
    </r>
    <r>
      <rPr>
        <b/>
        <u/>
        <sz val="9"/>
        <rFont val="Arial"/>
        <family val="2"/>
      </rPr>
      <t>GASBS No. 87</t>
    </r>
    <r>
      <rPr>
        <b/>
        <sz val="9"/>
        <rFont val="Arial"/>
        <family val="2"/>
      </rPr>
      <t>)</t>
    </r>
  </si>
  <si>
    <t xml:space="preserve">Note A:  The Total Nondepreciable Capital Assets and the Total Other Capital Assets, Net amounts must agree to the Nondepreciable Capital Assets and the Other Capital Assets, Net amounts, respectively, reported on the  Combining FST tab.  If not, an "ERROR" message will appear.  Make corrections as deemed necessary.  </t>
  </si>
  <si>
    <t>Note C:  The Total Nondepreciable Capital Assets and the Total Other Capital Assets, Net amounts must agree to the Nondepreciable Capital Assets and the Other Capital Assets, Net amounts, respectively,  reported on the FST tab in the Foundation(s) column plus the Elimination Entries to FST tab in the Foundation(s) column.  If not, an "ERROR" message will appear.  Make corrections as deemed necessary.</t>
  </si>
  <si>
    <r>
      <t xml:space="preserve">Part 3a) </t>
    </r>
    <r>
      <rPr>
        <sz val="10"/>
        <rFont val="Arial"/>
        <family val="2"/>
      </rPr>
      <t xml:space="preserve">Provide future </t>
    </r>
    <r>
      <rPr>
        <b/>
        <sz val="10"/>
        <rFont val="Arial"/>
        <family val="2"/>
      </rPr>
      <t xml:space="preserve">Capital Lease Obligation </t>
    </r>
    <r>
      <rPr>
        <sz val="10"/>
        <rFont val="Arial"/>
        <family val="2"/>
      </rPr>
      <t>Payments reported by the foundation(s) as of year-end.</t>
    </r>
  </si>
  <si>
    <t>August 31 or December 31, 2020</t>
  </si>
  <si>
    <t>March 31 or June 30, 2021</t>
  </si>
  <si>
    <t>2026 &amp; Thereafter</t>
  </si>
  <si>
    <t>Net minimum lease payments</t>
  </si>
  <si>
    <t>Less: Amount representing interest (negative $)</t>
  </si>
  <si>
    <t>Present Value of Net Minimum Lease Payments</t>
  </si>
  <si>
    <t xml:space="preserve">Note G:  This Present Value of Net Minimum Lease Payments must agree to the amount reported on the Combining FST tab.  If not, an "ERROR" message will appear.  Make corrections as deemed necessary.  </t>
  </si>
  <si>
    <t>Note H:  The Present Value of Net Minimum Lease Payments must agree to the elimination entries reported on the Elimination Entries to FST for the foundations.  If not, an "ERROR" message will appear.  Make corrections as deemed necessary.</t>
  </si>
  <si>
    <t>Note I:  This Present Value of Net Minimum Lease Payments after All Elimination Entries must agree to the amounts reported on the FST in the Foundation(s) column plus the Elimination Entries to FST in the Foundation(s) column.  If not, an "ERROR" message will appear.  Make corrections as deemed necessary.</t>
  </si>
  <si>
    <r>
      <t>Part 3b)</t>
    </r>
    <r>
      <rPr>
        <sz val="10"/>
        <rFont val="Arial"/>
        <family val="2"/>
      </rPr>
      <t xml:space="preserve">  Provide the capital asset balances as of year-end that were purchased with the capital leases provided in 3a):</t>
    </r>
  </si>
  <si>
    <t>Buildings -gross amount</t>
  </si>
  <si>
    <t>Less: Buildings - Accumulated Depreciation (negative $)</t>
  </si>
  <si>
    <t>Buildings - net amount</t>
  </si>
  <si>
    <t>Equipment -gross amount</t>
  </si>
  <si>
    <t>Less: Equipment - Accumulated Depreciation (negative $)</t>
  </si>
  <si>
    <t>Equipment - net amount</t>
  </si>
  <si>
    <t>Were any other types of capital assets acquired with a capital lease? (yes or no)</t>
  </si>
  <si>
    <t>If yes, provide the type of capital asset acquired with a capital lease</t>
  </si>
  <si>
    <t>Note H1</t>
  </si>
  <si>
    <t>1b) If yes to 1a, are any of these operating leases paid to an outside entity and not to the HEI or other foundations reported on the Combining FST?</t>
  </si>
  <si>
    <t>1c)  If yes to 1a and 1b, complete this section for future operating lease payments to outside entities:</t>
  </si>
  <si>
    <t>1d)  Complete this section for operating leases reported in section 1c.</t>
  </si>
  <si>
    <t>Provide the current year's rent expense on these operating leases.</t>
  </si>
  <si>
    <t>TAB F5.1-Part 3</t>
  </si>
  <si>
    <t xml:space="preserve">   Total Other Capital Assets being 
Depreciated</t>
  </si>
  <si>
    <r>
      <t xml:space="preserve">Long-term Lease Liability </t>
    </r>
    <r>
      <rPr>
        <u/>
        <sz val="9"/>
        <rFont val="Arial"/>
        <family val="2"/>
      </rPr>
      <t>(</t>
    </r>
    <r>
      <rPr>
        <b/>
        <u/>
        <sz val="9"/>
        <rFont val="Arial"/>
        <family val="2"/>
      </rPr>
      <t>GASBS No.87)</t>
    </r>
  </si>
  <si>
    <r>
      <t xml:space="preserve">If yes to 11a and/or 11b,  provide the name of the plan(s), type of plan(s), and general description of the benefits.  
Also, if yes to 11c </t>
    </r>
    <r>
      <rPr>
        <u/>
        <sz val="9"/>
        <rFont val="Arial"/>
        <family val="2"/>
      </rPr>
      <t>and</t>
    </r>
    <r>
      <rPr>
        <sz val="9"/>
        <rFont val="Arial"/>
        <family val="2"/>
      </rPr>
      <t xml:space="preserve"> the institution has more than one OPEB plan, indicate which OPEB plan(s) has a trust that meets the requirements in </t>
    </r>
    <r>
      <rPr>
        <b/>
        <u/>
        <sz val="9"/>
        <rFont val="Arial"/>
        <family val="2"/>
      </rPr>
      <t>GASBS No. 75</t>
    </r>
    <r>
      <rPr>
        <sz val="9"/>
        <rFont val="Arial"/>
        <family val="2"/>
      </rPr>
      <t xml:space="preserve"> paragraph 4.  Also, indicate if the plan(s) is considered a fiduciary component unit of the HEI in accordance with </t>
    </r>
    <r>
      <rPr>
        <b/>
        <u/>
        <sz val="9"/>
        <rFont val="Arial"/>
        <family val="2"/>
      </rPr>
      <t>GASBS No. 14</t>
    </r>
    <r>
      <rPr>
        <sz val="9"/>
        <rFont val="Arial"/>
        <family val="2"/>
      </rPr>
      <t xml:space="preserve"> as amended through </t>
    </r>
    <r>
      <rPr>
        <b/>
        <u/>
        <sz val="9"/>
        <rFont val="Arial"/>
        <family val="2"/>
      </rPr>
      <t>GASBS No. 97</t>
    </r>
    <r>
      <rPr>
        <sz val="9"/>
        <rFont val="Arial"/>
        <family val="2"/>
      </rPr>
      <t xml:space="preserve">.  </t>
    </r>
  </si>
  <si>
    <r>
      <t xml:space="preserve">  Long-term Lease Liability </t>
    </r>
    <r>
      <rPr>
        <b/>
        <u/>
        <sz val="9"/>
        <rFont val="Arial"/>
        <family val="2"/>
      </rPr>
      <t>(GASBS No.87</t>
    </r>
    <r>
      <rPr>
        <sz val="9"/>
        <rFont val="Arial"/>
        <family val="2"/>
      </rPr>
      <t>) (linked)</t>
    </r>
  </si>
  <si>
    <t>Note B:  The Total Nondepreciable Capital Assets and the Total Other Capital Assets, Net amounts must agree to the Nondepreciable Capital Assets and the Other Capital Assets, Net amounts, respectively, reported on the Elimination Entries to FST in the Foundation(s) column.  If not, an "ERROR" message will appear.  Make corrections as deemed necessary.</t>
  </si>
  <si>
    <t>Total nondepreciable &amp; Other capital assets</t>
  </si>
  <si>
    <t>Total Nondepreciable &amp; Other Capital Assets</t>
  </si>
  <si>
    <r>
      <t xml:space="preserve">LT Liabilities: Due Within One Year - Long-term Lease Liability </t>
    </r>
    <r>
      <rPr>
        <b/>
        <u/>
        <sz val="9"/>
        <rFont val="Arial"/>
        <family val="2"/>
      </rPr>
      <t>(GASBS No.87)</t>
    </r>
  </si>
  <si>
    <t>TAB 5-Parts 1 &amp; 5/TAB 9</t>
  </si>
  <si>
    <t>TAB F4/TAB F10</t>
  </si>
  <si>
    <r>
      <t>LT Liabilities: Due in More Than One Year - Long-term Lease Liability (</t>
    </r>
    <r>
      <rPr>
        <b/>
        <u/>
        <sz val="9"/>
        <rFont val="Arial"/>
        <family val="2"/>
      </rPr>
      <t>GASBS No.87)</t>
    </r>
  </si>
  <si>
    <t>Note B: The Cardinal account 101010 amount in fund 03220, Covered Institution Interest Escrow Fund, should not be reported on the FST. The Commonwealth has custody of the cash as of year-end. Consistent with the prior year, DOA will make an entry for the Annual Comprehensive Financial Report to debit "Cash with the Treasurer of Virginia" and credit "Unearned Revenue."</t>
  </si>
  <si>
    <t xml:space="preserve">   Total Other Capital Assets </t>
  </si>
  <si>
    <t xml:space="preserve">   Total Other Capital Assets</t>
  </si>
  <si>
    <r>
      <t xml:space="preserve">Right-to-Use Intangible Assets </t>
    </r>
    <r>
      <rPr>
        <b/>
        <sz val="8"/>
        <rFont val="Arial"/>
        <family val="2"/>
      </rPr>
      <t>(</t>
    </r>
    <r>
      <rPr>
        <b/>
        <u/>
        <sz val="8"/>
        <rFont val="Arial"/>
        <family val="2"/>
      </rPr>
      <t>GASBS No.87)</t>
    </r>
  </si>
  <si>
    <r>
      <t xml:space="preserve">       Right-to-Use Intangible Assets (</t>
    </r>
    <r>
      <rPr>
        <b/>
        <u/>
        <sz val="8"/>
        <rFont val="Arial"/>
        <family val="2"/>
      </rPr>
      <t>GASBS No. 87</t>
    </r>
    <r>
      <rPr>
        <sz val="8"/>
        <rFont val="Arial"/>
        <family val="2"/>
      </rPr>
      <t>)</t>
    </r>
  </si>
  <si>
    <r>
      <t xml:space="preserve">Right-to-Use Intangible Assets </t>
    </r>
    <r>
      <rPr>
        <b/>
        <u/>
        <sz val="8"/>
        <rFont val="Arial"/>
        <family val="2"/>
      </rPr>
      <t>(GASBS No. 87)</t>
    </r>
  </si>
  <si>
    <r>
      <t xml:space="preserve">Right-to-Use Intangible Assets </t>
    </r>
    <r>
      <rPr>
        <b/>
        <u/>
        <sz val="8"/>
        <rFont val="Arial"/>
        <family val="2"/>
      </rPr>
      <t>(GASBS No.87</t>
    </r>
    <r>
      <rPr>
        <sz val="8"/>
        <rFont val="Arial"/>
        <family val="2"/>
      </rPr>
      <t>)</t>
    </r>
  </si>
  <si>
    <r>
      <rPr>
        <b/>
        <u/>
        <sz val="8"/>
        <rFont val="Arial"/>
        <family val="2"/>
      </rPr>
      <t>GASBS No. 72</t>
    </r>
    <r>
      <rPr>
        <sz val="8"/>
        <rFont val="Arial"/>
        <family val="2"/>
      </rPr>
      <t xml:space="preserve"> did not amend </t>
    </r>
    <r>
      <rPr>
        <b/>
        <u/>
        <sz val="8"/>
        <rFont val="Arial"/>
        <family val="2"/>
      </rPr>
      <t>GASBS No. 48</t>
    </r>
    <r>
      <rPr>
        <sz val="8"/>
        <rFont val="Arial"/>
        <family val="2"/>
      </rPr>
      <t xml:space="preserve">, </t>
    </r>
    <r>
      <rPr>
        <i/>
        <sz val="8"/>
        <rFont val="Arial"/>
        <family val="2"/>
      </rPr>
      <t>Sales and Pledges of Receivables and Future Revenues and Intra-entity Transfers of Assets and Future Revenues,</t>
    </r>
    <r>
      <rPr>
        <sz val="8"/>
        <rFont val="Arial"/>
        <family val="2"/>
      </rPr>
      <t xml:space="preserve"> and requires that donated, purchased, or transferred capital assets between entities of the Commonwealth are considered intra-entity transfers and should be recorded at the carrying value of the transferor. Since HEIs are part of the Commonwealth's financial reporting entity, the definition of "intra-entity" is not only the HEI and its foundations but also other entities reported in the Commonwealth's Annual Comprehensive Financial Report. To view the </t>
    </r>
    <r>
      <rPr>
        <b/>
        <u/>
        <sz val="8"/>
        <rFont val="Arial"/>
        <family val="2"/>
      </rPr>
      <t>GASBS No. 48</t>
    </r>
    <r>
      <rPr>
        <sz val="8"/>
        <rFont val="Arial"/>
        <family val="2"/>
      </rPr>
      <t xml:space="preserve"> Commonwealth of Virginia Intra-Entity Reporting List, go to DOA's website and click on the "Financial Statement Directives" link.</t>
    </r>
  </si>
  <si>
    <r>
      <rPr>
        <b/>
        <u/>
        <sz val="8"/>
        <rFont val="Arial"/>
        <family val="2"/>
      </rPr>
      <t>Note</t>
    </r>
    <r>
      <rPr>
        <sz val="8"/>
        <rFont val="Arial"/>
        <family val="2"/>
      </rPr>
      <t>:  Insurance recoveries related to assets that were impaired in prior years are reported in Part 3.3.</t>
    </r>
  </si>
  <si>
    <r>
      <t xml:space="preserve">If yes for a </t>
    </r>
    <r>
      <rPr>
        <b/>
        <u/>
        <sz val="8"/>
        <rFont val="Arial"/>
        <family val="2"/>
      </rPr>
      <t>GASBS No. 87</t>
    </r>
    <r>
      <rPr>
        <sz val="8"/>
        <rFont val="Arial"/>
        <family val="2"/>
      </rPr>
      <t xml:space="preserve"> lease impairment, provide the reduction in lease asset and liability resulting from the impairment. If applicable, provide the impairment loss in excess of the reduction of the asset and liability line item.</t>
    </r>
  </si>
  <si>
    <r>
      <t xml:space="preserve">the assets acquired through installment purchases </t>
    </r>
    <r>
      <rPr>
        <b/>
        <sz val="9"/>
        <color indexed="8"/>
        <rFont val="Arial"/>
        <family val="2"/>
      </rPr>
      <t>are</t>
    </r>
    <r>
      <rPr>
        <sz val="9"/>
        <color indexed="8"/>
        <rFont val="Arial"/>
        <family val="2"/>
      </rPr>
      <t xml:space="preserve"> properly recorded in FAACS.  Institutions</t>
    </r>
  </si>
  <si>
    <r>
      <rPr>
        <b/>
        <u/>
        <sz val="10"/>
        <rFont val="Arial"/>
        <family val="2"/>
      </rPr>
      <t>GASBS No. 88</t>
    </r>
    <r>
      <rPr>
        <b/>
        <sz val="10"/>
        <rFont val="Arial"/>
        <family val="2"/>
      </rPr>
      <t>- Other</t>
    </r>
  </si>
  <si>
    <t xml:space="preserve">Description </t>
  </si>
  <si>
    <t>$ Total present value lease obligation in aggregate for all short-term leases:</t>
  </si>
  <si>
    <t>All Higher Education Institutions must account for inventories using the consumption method for the Annual Comprehensive Financial Report. 
-   If the HEI does report an amount on the Inventory FST line item, complete Parts 1a to 1f. 
-   If the HEI does not report an amount on the Inventory FST line item, only complete Part 1e and leave the remaining Parts 1a to 1d &amp; 1f blank.</t>
  </si>
  <si>
    <r>
      <t xml:space="preserve">13b) </t>
    </r>
    <r>
      <rPr>
        <b/>
        <sz val="9"/>
        <rFont val="Arial"/>
        <family val="2"/>
      </rPr>
      <t xml:space="preserve">Intra-Entity Purchase/Transfer/Donation of Capital Assets or Other Financial Assets:  </t>
    </r>
    <r>
      <rPr>
        <sz val="9"/>
        <rFont val="Arial"/>
        <family val="2"/>
      </rPr>
      <t xml:space="preserve">Does the HEI have any capital assets or other financial assets that were purchased, transferred, and/or donated to the HEI that would be considered an intra-entity transaction as defined by </t>
    </r>
    <r>
      <rPr>
        <b/>
        <u/>
        <sz val="9"/>
        <rFont val="Arial"/>
        <family val="2"/>
      </rPr>
      <t>GASBS No. 48</t>
    </r>
    <r>
      <rPr>
        <sz val="9"/>
        <rFont val="Arial"/>
        <family val="2"/>
      </rPr>
      <t xml:space="preserve"> (within the financial reporting entity**) not already provided in Part 13a?  If yes, provide a description of these transactions and identify the entity that provided the capital assets or other financial assets.
**Note:  </t>
    </r>
    <r>
      <rPr>
        <b/>
        <u/>
        <sz val="9"/>
        <rFont val="Arial"/>
        <family val="2"/>
      </rPr>
      <t>GASBS No. 48</t>
    </r>
    <r>
      <rPr>
        <sz val="9"/>
        <rFont val="Arial"/>
        <family val="2"/>
      </rPr>
      <t xml:space="preserve"> includes guidance on how to report intra-entity transfers of assets and future revenues (including purchases/donations/transfers) within the same financial reporting entity.  Since HEIs are part of the Commonwealth's financial reporting entity, the definition of "intra-entity" for purposes of implementing </t>
    </r>
    <r>
      <rPr>
        <b/>
        <u/>
        <sz val="9"/>
        <rFont val="Arial"/>
        <family val="2"/>
      </rPr>
      <t>GASBS No. 48</t>
    </r>
    <r>
      <rPr>
        <sz val="9"/>
        <rFont val="Arial"/>
        <family val="2"/>
      </rPr>
      <t xml:space="preserve"> is not only the HEI and its foundations but also other entities reported in the Commonwealth's Annual Comprehensive Financial Report.  For the </t>
    </r>
    <r>
      <rPr>
        <b/>
        <u/>
        <sz val="9"/>
        <rFont val="Arial"/>
        <family val="2"/>
      </rPr>
      <t>GASBS No. 48</t>
    </r>
    <r>
      <rPr>
        <sz val="9"/>
        <rFont val="Arial"/>
        <family val="2"/>
      </rPr>
      <t xml:space="preserve"> Commonwealth of Virginia Intra-Entity Reporting List, go to DOA's website and click on the "Financial Statement Directives" link.</t>
    </r>
  </si>
  <si>
    <r>
      <t xml:space="preserve">6) </t>
    </r>
    <r>
      <rPr>
        <b/>
        <sz val="9"/>
        <rFont val="Arial"/>
        <family val="2"/>
      </rPr>
      <t xml:space="preserve">Sale-Leaseback Transactions </t>
    </r>
    <r>
      <rPr>
        <sz val="9"/>
        <rFont val="Arial"/>
        <family val="2"/>
      </rPr>
      <t>- Loss on the sale of property  that is accompanied by a leaseback of all or any part of the property for all or part of its remaining economic life   (</t>
    </r>
    <r>
      <rPr>
        <b/>
        <u/>
        <sz val="9"/>
        <rFont val="Arial"/>
        <family val="2"/>
      </rPr>
      <t>GASBS No. 87</t>
    </r>
    <r>
      <rPr>
        <sz val="9"/>
        <rFont val="Arial"/>
        <family val="2"/>
      </rPr>
      <t xml:space="preserve"> paragraphs 82-86)</t>
    </r>
  </si>
  <si>
    <r>
      <t xml:space="preserve">3) </t>
    </r>
    <r>
      <rPr>
        <b/>
        <sz val="9"/>
        <rFont val="Arial"/>
        <family val="2"/>
      </rPr>
      <t>Refundings of Debt</t>
    </r>
    <r>
      <rPr>
        <sz val="9"/>
        <rFont val="Arial"/>
        <family val="2"/>
      </rPr>
      <t xml:space="preserve"> - A change in provisions of a lease resulting from a refunding, including an advance refunding, of tax-exempt debt by the lessor who then passes through the effect to the lessee and the lease continues to be classified as a lease by the lessee which increases the lessee's lease obligation (</t>
    </r>
    <r>
      <rPr>
        <b/>
        <u/>
        <sz val="9"/>
        <rFont val="Arial"/>
        <family val="2"/>
      </rPr>
      <t>GASBS No. 87</t>
    </r>
    <r>
      <rPr>
        <sz val="9"/>
        <rFont val="Arial"/>
        <family val="2"/>
      </rPr>
      <t xml:space="preserve"> paragraph 74)</t>
    </r>
  </si>
  <si>
    <r>
      <t xml:space="preserve">Does the HEI have any pledged collateral for any </t>
    </r>
    <r>
      <rPr>
        <b/>
        <u/>
        <sz val="9"/>
        <rFont val="Arial"/>
        <family val="2"/>
      </rPr>
      <t>GASBS No. 87</t>
    </r>
    <r>
      <rPr>
        <sz val="9"/>
        <rFont val="Arial"/>
        <family val="2"/>
      </rPr>
      <t xml:space="preserve"> lease other than the underlying leased asset?
If yes, provide the description of the collateral.</t>
    </r>
  </si>
  <si>
    <r>
      <t xml:space="preserve">Note:  The  </t>
    </r>
    <r>
      <rPr>
        <b/>
        <u/>
        <sz val="10"/>
        <rFont val="Arial"/>
        <family val="2"/>
      </rPr>
      <t>GASBS No. 48</t>
    </r>
    <r>
      <rPr>
        <sz val="10"/>
        <rFont val="Arial"/>
        <family val="2"/>
      </rPr>
      <t xml:space="preserve"> Commonwealth of Virginia Intra-Entity Reporting List available on DOA’s website has a listing of entities that are included in the Commonwealth's Annual Comprehensive Financial Report and are not considered "external" to the Commonwealth. </t>
    </r>
  </si>
  <si>
    <r>
      <rPr>
        <sz val="10"/>
        <rFont val="Arial"/>
        <family val="2"/>
      </rPr>
      <t xml:space="preserve">For </t>
    </r>
    <r>
      <rPr>
        <b/>
        <sz val="10"/>
        <rFont val="Arial"/>
        <family val="2"/>
      </rPr>
      <t xml:space="preserve">Nondepreciable and Other Capital Assets </t>
    </r>
    <r>
      <rPr>
        <sz val="10"/>
        <rFont val="Arial"/>
        <family val="2"/>
      </rPr>
      <t>reported by the foundation(s) as of year-end, complete the following:</t>
    </r>
  </si>
  <si>
    <r>
      <t xml:space="preserve">Long-term Lease Liability </t>
    </r>
    <r>
      <rPr>
        <b/>
        <sz val="9"/>
        <rFont val="Arial"/>
        <family val="2"/>
      </rPr>
      <t>(</t>
    </r>
    <r>
      <rPr>
        <b/>
        <u/>
        <sz val="9"/>
        <rFont val="Arial"/>
        <family val="2"/>
      </rPr>
      <t>GASBS No.87</t>
    </r>
    <r>
      <rPr>
        <b/>
        <sz val="9"/>
        <rFont val="Arial"/>
        <family val="2"/>
      </rPr>
      <t>)</t>
    </r>
  </si>
  <si>
    <r>
      <t xml:space="preserve">Long-term Lease Liability </t>
    </r>
    <r>
      <rPr>
        <b/>
        <u/>
        <sz val="9"/>
        <rFont val="Arial"/>
        <family val="2"/>
      </rPr>
      <t>(GASBS No. 87)</t>
    </r>
  </si>
  <si>
    <r>
      <t xml:space="preserve">Financed Purchase Obligation </t>
    </r>
    <r>
      <rPr>
        <b/>
        <u/>
        <sz val="9"/>
        <rFont val="Arial"/>
        <family val="2"/>
      </rPr>
      <t>(GASBS No.87)</t>
    </r>
  </si>
  <si>
    <r>
      <t xml:space="preserve">Long-term SBITA Liabilities </t>
    </r>
    <r>
      <rPr>
        <b/>
        <u/>
        <sz val="9"/>
        <rFont val="Arial"/>
        <family val="2"/>
      </rPr>
      <t>(GASBS No.96)</t>
    </r>
  </si>
  <si>
    <t>Infrastucture</t>
  </si>
  <si>
    <t xml:space="preserve">Other Intangibles </t>
  </si>
  <si>
    <r>
      <t xml:space="preserve">Right-to-Use Intangible Subscription Assets </t>
    </r>
    <r>
      <rPr>
        <b/>
        <u/>
        <sz val="8"/>
        <rFont val="Arial"/>
        <family val="2"/>
      </rPr>
      <t>(GASBS No.96)</t>
    </r>
  </si>
  <si>
    <t xml:space="preserve">  Nondepreciable Capital Assets</t>
  </si>
  <si>
    <r>
      <t xml:space="preserve">Right-to-Use Intangible Subscription Assets 
</t>
    </r>
    <r>
      <rPr>
        <b/>
        <u/>
        <sz val="8"/>
        <rFont val="Arial"/>
        <family val="2"/>
      </rPr>
      <t>(GASBS No.96)</t>
    </r>
  </si>
  <si>
    <t xml:space="preserve">Land </t>
  </si>
  <si>
    <t xml:space="preserve">Less Accumulated Amortization for :
</t>
  </si>
  <si>
    <r>
      <t xml:space="preserve">Right-to-Use Intangible Assets </t>
    </r>
    <r>
      <rPr>
        <b/>
        <u/>
        <sz val="8"/>
        <rFont val="Arial"/>
        <family val="2"/>
      </rPr>
      <t>(GASBS No.87)</t>
    </r>
  </si>
  <si>
    <r>
      <t xml:space="preserve">Right-to-Use Intangible Subscription Assets
</t>
    </r>
    <r>
      <rPr>
        <b/>
        <u/>
        <sz val="8"/>
        <rFont val="Arial"/>
        <family val="2"/>
      </rPr>
      <t xml:space="preserve"> (GASBS No.96)</t>
    </r>
  </si>
  <si>
    <t>Total Accumulated Amortization</t>
  </si>
  <si>
    <r>
      <t xml:space="preserve">Intangible Assets </t>
    </r>
    <r>
      <rPr>
        <b/>
        <u/>
        <sz val="8"/>
        <rFont val="Arial"/>
        <family val="2"/>
      </rPr>
      <t>(GASBS No. 51)</t>
    </r>
  </si>
  <si>
    <r>
      <t xml:space="preserve">Long-Term Lease Liability </t>
    </r>
    <r>
      <rPr>
        <b/>
        <u/>
        <sz val="9"/>
        <rFont val="Arial"/>
        <family val="2"/>
      </rPr>
      <t>(GASBS No. 87)</t>
    </r>
  </si>
  <si>
    <r>
      <t xml:space="preserve">Net Pension Liability </t>
    </r>
    <r>
      <rPr>
        <b/>
        <u/>
        <sz val="9"/>
        <rFont val="Arial"/>
        <family val="2"/>
      </rPr>
      <t>(GASBS No. 68)</t>
    </r>
  </si>
  <si>
    <t>VIRGINIA POLYTECHNIC INSTITUTE &amp; STATE UNIVERSITY (including VPI&amp;SU &amp; VPI&amp;SU-COOP Ext &amp; AG Experiment Station)</t>
  </si>
  <si>
    <t>Purpose:  Use the HEI #-acronym on this tab for the drop-down list used to populate the Institution Name.</t>
  </si>
  <si>
    <t>VIRGINIA STATE UNIVERSITY (including VSU &amp; Coop Ext &amp; Agricultural Research Services)</t>
  </si>
  <si>
    <t>Note A:  For agencies 885 &amp; 935, the control agency is agency 151.</t>
  </si>
  <si>
    <t>Note B:  For agency 948 the control agency is agency 207.</t>
  </si>
  <si>
    <t>Notes regarding agencies 241, 234, and 229:</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</si>
  <si>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</si>
  <si>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</si>
  <si>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</si>
  <si>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</si>
  <si>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Agency 229 is included in the Agencies Controlled for 208-VPI&amp;SU since this agency</t>
  </si>
  <si>
    <t>is included in the HE attachment submissions for  208-VPI&amp;SU.</t>
  </si>
  <si>
    <t>260, 261, 270, 275-280, 282-288,290-299</t>
  </si>
  <si>
    <r>
      <t xml:space="preserve">Long-term Subscription-based Information Technology Arrangements Liabilities </t>
    </r>
    <r>
      <rPr>
        <b/>
        <u/>
        <sz val="9"/>
        <rFont val="Arial"/>
        <family val="2"/>
      </rPr>
      <t>(GASBS No.96)</t>
    </r>
  </si>
  <si>
    <r>
      <t xml:space="preserve">Long-term Subscription-based Information Technology Arrangements Liabilities </t>
    </r>
    <r>
      <rPr>
        <b/>
        <u/>
        <sz val="9"/>
        <rFont val="Arial"/>
        <family val="2"/>
      </rPr>
      <t>(GASBS No. 96)</t>
    </r>
  </si>
  <si>
    <r>
      <t xml:space="preserve">LT Liabilities: Due Within One Year - Long-term Subscription-based Information Technology Arrangements Liabilities </t>
    </r>
    <r>
      <rPr>
        <b/>
        <u/>
        <sz val="9"/>
        <rFont val="Arial"/>
        <family val="2"/>
      </rPr>
      <t>(GASBS No.96)</t>
    </r>
  </si>
  <si>
    <r>
      <t xml:space="preserve">LT Liabilities: Due in More Than One Year - Long-term Subscription-based Information Technology Arrangements Liabilities </t>
    </r>
    <r>
      <rPr>
        <b/>
        <u/>
        <sz val="9"/>
        <rFont val="Arial"/>
        <family val="2"/>
      </rPr>
      <t>(GASBS No.96)</t>
    </r>
  </si>
  <si>
    <t>TAB 5-Parts 7 &amp; 11/TAB 9</t>
  </si>
  <si>
    <r>
      <t xml:space="preserve">Right-to-Use Intangible Subscription Assets 
</t>
    </r>
    <r>
      <rPr>
        <b/>
        <u/>
        <sz val="8"/>
        <rFont val="Arial"/>
        <family val="2"/>
      </rPr>
      <t>(GASBS No. 96)</t>
    </r>
  </si>
  <si>
    <r>
      <t xml:space="preserve">Right-to Use Intangible Subscription Assets </t>
    </r>
    <r>
      <rPr>
        <b/>
        <u/>
        <sz val="8"/>
        <rFont val="Arial"/>
        <family val="2"/>
      </rPr>
      <t>(GASBS No.96)</t>
    </r>
  </si>
  <si>
    <r>
      <t xml:space="preserve">If yes for a </t>
    </r>
    <r>
      <rPr>
        <b/>
        <u/>
        <sz val="8"/>
        <rFont val="Arial"/>
        <family val="2"/>
      </rPr>
      <t>GASBS No. 96</t>
    </r>
    <r>
      <rPr>
        <b/>
        <sz val="8"/>
        <rFont val="Arial"/>
        <family val="2"/>
      </rPr>
      <t xml:space="preserve"> </t>
    </r>
    <r>
      <rPr>
        <sz val="8"/>
        <rFont val="Arial"/>
        <family val="2"/>
      </rPr>
      <t>subscription impairment, provide the reduction in subscription asset and liability resulting from the impairment. If applicable, provide the impairment loss in excess of the reduction of the asset and liability line item.</t>
    </r>
  </si>
  <si>
    <t>Reduction in subscription asset and liability</t>
  </si>
  <si>
    <r>
      <t>Right-to-Use Intangible Underlying PPP 
Assets (</t>
    </r>
    <r>
      <rPr>
        <b/>
        <u/>
        <sz val="8"/>
        <rFont val="Arial"/>
        <family val="2"/>
      </rPr>
      <t>GASBS No. 94</t>
    </r>
    <r>
      <rPr>
        <sz val="8"/>
        <rFont val="Arial"/>
        <family val="2"/>
      </rPr>
      <t>)</t>
    </r>
  </si>
  <si>
    <r>
      <t xml:space="preserve">Right-to Use Intangible Underlying PPP Assets </t>
    </r>
    <r>
      <rPr>
        <b/>
        <u/>
        <sz val="8"/>
        <rFont val="Arial"/>
        <family val="2"/>
      </rPr>
      <t>(GASBS No.94)</t>
    </r>
  </si>
  <si>
    <r>
      <t xml:space="preserve">A)   </t>
    </r>
    <r>
      <rPr>
        <b/>
        <sz val="8"/>
        <rFont val="Arial"/>
        <family val="2"/>
      </rPr>
      <t>Possible Impairment of Capital Assets</t>
    </r>
    <r>
      <rPr>
        <sz val="8"/>
        <rFont val="Arial"/>
        <family val="2"/>
      </rPr>
      <t xml:space="preserve">:  As of June 30, did the institution have an event or change in circumstances that may indicate </t>
    </r>
  </si>
  <si>
    <r>
      <t xml:space="preserve">If yes for a </t>
    </r>
    <r>
      <rPr>
        <b/>
        <u/>
        <sz val="8"/>
        <rFont val="Arial"/>
        <family val="2"/>
      </rPr>
      <t xml:space="preserve">GASBS No. 94 </t>
    </r>
    <r>
      <rPr>
        <sz val="8"/>
        <rFont val="Arial"/>
        <family val="2"/>
      </rPr>
      <t xml:space="preserve">  right-to use underlying PPP asset impairment, provide the reduction in asset and liability resulting from the impairment. If applicable, provide the impairment loss in excess of the reduction of the asset and liability line item.</t>
    </r>
  </si>
  <si>
    <t>Reduction in right-to use underlying PPP asset and liability</t>
  </si>
  <si>
    <r>
      <t xml:space="preserve">Right-to-Use Intangible Underlying PPP
 Assets </t>
    </r>
    <r>
      <rPr>
        <b/>
        <u/>
        <sz val="8"/>
        <rFont val="Arial"/>
        <family val="2"/>
      </rPr>
      <t>(GASBS No. 94)</t>
    </r>
  </si>
  <si>
    <r>
      <t>Long-term Operator Installment Payment Liabilities (</t>
    </r>
    <r>
      <rPr>
        <b/>
        <u/>
        <sz val="9"/>
        <rFont val="Arial"/>
        <family val="2"/>
      </rPr>
      <t>GASBS No.94</t>
    </r>
    <r>
      <rPr>
        <sz val="9"/>
        <rFont val="Arial"/>
        <family val="2"/>
      </rPr>
      <t>)</t>
    </r>
  </si>
  <si>
    <r>
      <t>Long-term Operator Installment Payment Liabilities (</t>
    </r>
    <r>
      <rPr>
        <b/>
        <u/>
        <sz val="9"/>
        <rFont val="Arial"/>
        <family val="2"/>
      </rPr>
      <t>GASBS No. 94</t>
    </r>
    <r>
      <rPr>
        <sz val="9"/>
        <rFont val="Arial"/>
        <family val="2"/>
      </rPr>
      <t>)</t>
    </r>
  </si>
  <si>
    <r>
      <t>Financed Purchase Obligation (</t>
    </r>
    <r>
      <rPr>
        <b/>
        <u/>
        <sz val="9"/>
        <rFont val="Arial"/>
        <family val="2"/>
      </rPr>
      <t>GASBS Nos. 87 &amp; 94</t>
    </r>
    <r>
      <rPr>
        <sz val="9"/>
        <rFont val="Arial"/>
        <family val="2"/>
      </rPr>
      <t>)</t>
    </r>
  </si>
  <si>
    <t>Total nondepreciable &amp; other capital assets</t>
  </si>
  <si>
    <r>
      <t xml:space="preserve">Long-term SBITA Liabilites </t>
    </r>
    <r>
      <rPr>
        <b/>
        <u/>
        <sz val="9"/>
        <rFont val="Arial"/>
        <family val="2"/>
      </rPr>
      <t>(GASBS No.96)</t>
    </r>
  </si>
  <si>
    <r>
      <t>Part 5) Long-term Subscription-based Information Technology Arrangements Liabilities (</t>
    </r>
    <r>
      <rPr>
        <b/>
        <u/>
        <sz val="9"/>
        <rFont val="Arial"/>
        <family val="2"/>
      </rPr>
      <t>GASBS No. 96</t>
    </r>
    <r>
      <rPr>
        <b/>
        <sz val="9"/>
        <rFont val="Arial"/>
        <family val="2"/>
      </rPr>
      <t>)</t>
    </r>
  </si>
  <si>
    <r>
      <t>Part 5.1) Long-term Operator Installment Payment Liabilities  (</t>
    </r>
    <r>
      <rPr>
        <b/>
        <u/>
        <sz val="9"/>
        <rFont val="Arial"/>
        <family val="2"/>
      </rPr>
      <t>GASBS No. 94</t>
    </r>
    <r>
      <rPr>
        <b/>
        <sz val="9"/>
        <rFont val="Arial"/>
        <family val="2"/>
      </rPr>
      <t>)</t>
    </r>
  </si>
  <si>
    <r>
      <t>Part 5a):</t>
    </r>
    <r>
      <rPr>
        <sz val="9"/>
        <rFont val="Arial"/>
        <family val="2"/>
      </rPr>
      <t xml:space="preserve"> Did the Institution recognize any variable subscription payments that were NOT previously included in the measurement of the subscription liability? </t>
    </r>
    <r>
      <rPr>
        <b/>
        <sz val="9"/>
        <rFont val="Arial"/>
        <family val="2"/>
      </rPr>
      <t xml:space="preserve">
</t>
    </r>
    <r>
      <rPr>
        <sz val="9"/>
        <rFont val="Arial"/>
        <family val="2"/>
      </rPr>
      <t xml:space="preserve">If </t>
    </r>
    <r>
      <rPr>
        <b/>
        <sz val="9"/>
        <rFont val="Arial"/>
        <family val="2"/>
      </rPr>
      <t>yes</t>
    </r>
    <r>
      <rPr>
        <sz val="9"/>
        <rFont val="Arial"/>
        <family val="2"/>
      </rPr>
      <t>, provide explanation below including payment amounts. If no, leave the yellow space blank.</t>
    </r>
  </si>
  <si>
    <r>
      <t>Part 5.1a):</t>
    </r>
    <r>
      <rPr>
        <sz val="9"/>
        <rFont val="Arial"/>
        <family val="2"/>
      </rPr>
      <t xml:space="preserve"> Did the Institution recognize any variable installment payments that were NOT previously included in the measurement of the installment liability? </t>
    </r>
    <r>
      <rPr>
        <b/>
        <sz val="9"/>
        <rFont val="Arial"/>
        <family val="2"/>
      </rPr>
      <t xml:space="preserve">
</t>
    </r>
    <r>
      <rPr>
        <sz val="9"/>
        <rFont val="Arial"/>
        <family val="2"/>
      </rPr>
      <t xml:space="preserve">If </t>
    </r>
    <r>
      <rPr>
        <b/>
        <sz val="9"/>
        <rFont val="Arial"/>
        <family val="2"/>
      </rPr>
      <t>yes</t>
    </r>
    <r>
      <rPr>
        <sz val="9"/>
        <rFont val="Arial"/>
        <family val="2"/>
      </rPr>
      <t>, provide explanation below including payment amounts. If no, leave the yellow space blank.</t>
    </r>
  </si>
  <si>
    <r>
      <t>Part 5b):</t>
    </r>
    <r>
      <rPr>
        <sz val="9"/>
        <rFont val="Arial"/>
        <family val="2"/>
      </rPr>
      <t xml:space="preserve"> Did the Institution recognize any other payments for penalties that were NOT previously included in the measurement of the subscription liability?
If </t>
    </r>
    <r>
      <rPr>
        <b/>
        <sz val="9"/>
        <rFont val="Arial"/>
        <family val="2"/>
      </rPr>
      <t>yes</t>
    </r>
    <r>
      <rPr>
        <sz val="9"/>
        <rFont val="Arial"/>
        <family val="2"/>
      </rPr>
      <t xml:space="preserve">, provide explanation below including payment amounts. If </t>
    </r>
    <r>
      <rPr>
        <b/>
        <sz val="9"/>
        <rFont val="Arial"/>
        <family val="2"/>
      </rPr>
      <t>no</t>
    </r>
    <r>
      <rPr>
        <sz val="9"/>
        <rFont val="Arial"/>
        <family val="2"/>
      </rPr>
      <t>, leave the yellow space blank.</t>
    </r>
  </si>
  <si>
    <t>Part 6)  Bonds Payable (Institutional debt issued by the Institution)</t>
  </si>
  <si>
    <r>
      <t>Part 6a)  Interest Rates &amp; Issue Dates</t>
    </r>
    <r>
      <rPr>
        <sz val="9"/>
        <rFont val="Arial"/>
        <family val="2"/>
      </rPr>
      <t xml:space="preserve">:  Provide the issue date(s) and  interest rates below for </t>
    </r>
    <r>
      <rPr>
        <b/>
        <sz val="9"/>
        <rFont val="Arial"/>
        <family val="2"/>
      </rPr>
      <t>Bonds Payable (Issued by Institution-Institutional debt)</t>
    </r>
    <r>
      <rPr>
        <sz val="9"/>
        <rFont val="Arial"/>
        <family val="2"/>
      </rPr>
      <t>.</t>
    </r>
  </si>
  <si>
    <r>
      <rPr>
        <b/>
        <sz val="9"/>
        <rFont val="Arial"/>
        <family val="2"/>
      </rPr>
      <t>Part 7)</t>
    </r>
    <r>
      <rPr>
        <sz val="9"/>
        <rFont val="Arial"/>
        <family val="2"/>
      </rPr>
      <t xml:space="preserve"> </t>
    </r>
    <r>
      <rPr>
        <b/>
        <sz val="9"/>
        <rFont val="Arial"/>
        <family val="2"/>
      </rPr>
      <t xml:space="preserve"> Elimination Entries to Changes in Long-Term Liabilities</t>
    </r>
    <r>
      <rPr>
        <sz val="9"/>
        <rFont val="Arial"/>
        <family val="2"/>
      </rPr>
      <t>- Provide the elimination entries that are needed to the footnote disclosure reported in Part 1 that are recorded on the Elimination Entries to FST tab for the HEI amounts.  If ending elimination entry amounts below do not agree with the amounts reported on the Elimination Entries to FST tab, "ERROR" messages will appear.  Make corrections.</t>
    </r>
  </si>
  <si>
    <r>
      <t xml:space="preserve">Financed Purchase Obligation </t>
    </r>
    <r>
      <rPr>
        <b/>
        <u/>
        <sz val="9"/>
        <rFont val="Arial"/>
        <family val="2"/>
      </rPr>
      <t>(GASBS Nos. 87 &amp; 94)</t>
    </r>
  </si>
  <si>
    <r>
      <t xml:space="preserve">Part 8)  </t>
    </r>
    <r>
      <rPr>
        <b/>
        <sz val="9"/>
        <rFont val="Arial"/>
        <family val="2"/>
      </rPr>
      <t>Elimination Entries to Schedule of Installment Purchases</t>
    </r>
    <r>
      <rPr>
        <sz val="9"/>
        <rFont val="Arial"/>
        <family val="2"/>
      </rPr>
      <t xml:space="preserve"> - Provide the elimination entries that are needed to the footnote disclosure reported in Part 2 that are recorded on the Elimination Entries to FST tab for the HEI amounts.</t>
    </r>
  </si>
  <si>
    <r>
      <t xml:space="preserve">Part 9)  </t>
    </r>
    <r>
      <rPr>
        <b/>
        <sz val="9"/>
        <rFont val="Arial"/>
        <family val="2"/>
      </rPr>
      <t xml:space="preserve">Elimination Entries to Long-term Lease Liability </t>
    </r>
    <r>
      <rPr>
        <b/>
        <u/>
        <sz val="9"/>
        <rFont val="Arial"/>
        <family val="2"/>
      </rPr>
      <t>(GASBS No. 87</t>
    </r>
    <r>
      <rPr>
        <b/>
        <sz val="9"/>
        <rFont val="Arial"/>
        <family val="2"/>
      </rPr>
      <t>) Balances</t>
    </r>
    <r>
      <rPr>
        <sz val="9"/>
        <rFont val="Arial"/>
        <family val="2"/>
      </rPr>
      <t xml:space="preserve"> - Provide the elimination entries that are needed to the footnote disclosure reported in Part 3 that are recorded on the Elimination Entries to FST tab for the HEI amounts.</t>
    </r>
  </si>
  <si>
    <r>
      <t>Part 4)  Financed Purchase Obligations (</t>
    </r>
    <r>
      <rPr>
        <b/>
        <u/>
        <sz val="9"/>
        <rFont val="Arial"/>
        <family val="2"/>
      </rPr>
      <t>GASBS Nos. 87 &amp; 94</t>
    </r>
    <r>
      <rPr>
        <b/>
        <sz val="9"/>
        <rFont val="Arial"/>
        <family val="2"/>
      </rPr>
      <t>)</t>
    </r>
  </si>
  <si>
    <r>
      <t xml:space="preserve">Financed Purchase Obligation </t>
    </r>
    <r>
      <rPr>
        <b/>
        <u/>
        <sz val="9"/>
        <rFont val="Arial"/>
        <family val="2"/>
      </rPr>
      <t>(GASBS Nos. 87 &amp; 94</t>
    </r>
    <r>
      <rPr>
        <b/>
        <sz val="9"/>
        <rFont val="Arial"/>
        <family val="2"/>
      </rPr>
      <t>)</t>
    </r>
  </si>
  <si>
    <r>
      <t>Financed Purchase Obligations (</t>
    </r>
    <r>
      <rPr>
        <b/>
        <u/>
        <sz val="9"/>
        <rFont val="Arial"/>
        <family val="2"/>
      </rPr>
      <t>GASBS Nos. 87 &amp; 94</t>
    </r>
    <r>
      <rPr>
        <sz val="9"/>
        <rFont val="Arial"/>
        <family val="2"/>
      </rPr>
      <t>)</t>
    </r>
  </si>
  <si>
    <r>
      <t xml:space="preserve">Financed Purchase Obligation </t>
    </r>
    <r>
      <rPr>
        <b/>
        <sz val="9"/>
        <rFont val="Arial"/>
        <family val="2"/>
      </rPr>
      <t>(</t>
    </r>
    <r>
      <rPr>
        <b/>
        <u/>
        <sz val="9"/>
        <rFont val="Arial"/>
        <family val="2"/>
      </rPr>
      <t>GASBS Nos. 87 &amp; 94</t>
    </r>
    <r>
      <rPr>
        <sz val="9"/>
        <rFont val="Arial"/>
        <family val="2"/>
      </rPr>
      <t>)</t>
    </r>
  </si>
  <si>
    <t>Control totals (Prior year's TAB 3 Part 1 including AJES to TAB 3 Part 1)  per prior year workpaper at G12.1 p3 &amp;4</t>
  </si>
  <si>
    <t>TAB 5-Parts 1 &amp; 6/TAB 9</t>
  </si>
  <si>
    <r>
      <t xml:space="preserve">Part 10)  </t>
    </r>
    <r>
      <rPr>
        <b/>
        <sz val="9"/>
        <rFont val="Arial"/>
        <family val="2"/>
      </rPr>
      <t xml:space="preserve">Elimination Entries to Financed Purchase Obligations  </t>
    </r>
    <r>
      <rPr>
        <b/>
        <u/>
        <sz val="9"/>
        <rFont val="Arial"/>
        <family val="2"/>
      </rPr>
      <t>(GASBS Nos. 87 &amp; 94</t>
    </r>
    <r>
      <rPr>
        <b/>
        <sz val="9"/>
        <rFont val="Arial"/>
        <family val="2"/>
      </rPr>
      <t>) Balances</t>
    </r>
    <r>
      <rPr>
        <sz val="9"/>
        <rFont val="Arial"/>
        <family val="2"/>
      </rPr>
      <t xml:space="preserve"> - Provide the elimination entries that are needed to the footnote disclosure reported in Part 4 that are recorded on the Elimination Entries to FST tab for the HEI amounts.</t>
    </r>
  </si>
  <si>
    <r>
      <t xml:space="preserve">Part 11)  </t>
    </r>
    <r>
      <rPr>
        <b/>
        <sz val="9"/>
        <rFont val="Arial"/>
        <family val="2"/>
      </rPr>
      <t>Elimination Entries to Long-term Subscription-based Information Technology Arrangements Liabilities (</t>
    </r>
    <r>
      <rPr>
        <b/>
        <u/>
        <sz val="9"/>
        <rFont val="Arial"/>
        <family val="2"/>
      </rPr>
      <t>GASBS No. 96</t>
    </r>
    <r>
      <rPr>
        <b/>
        <sz val="9"/>
        <rFont val="Arial"/>
        <family val="2"/>
      </rPr>
      <t>) Balances</t>
    </r>
    <r>
      <rPr>
        <sz val="9"/>
        <rFont val="Arial"/>
        <family val="2"/>
      </rPr>
      <t xml:space="preserve"> - Provide the elimination entries that are needed to the footnote disclosure reported in Part 5 that are recorded on the Elimination Entries to FST tab for the HEI amounts.</t>
    </r>
  </si>
  <si>
    <r>
      <t>Part 11.1) Elimination Entries to Long-term Operator Installment Payment Liabilities  (</t>
    </r>
    <r>
      <rPr>
        <b/>
        <u/>
        <sz val="9"/>
        <rFont val="Arial"/>
        <family val="2"/>
      </rPr>
      <t>GASBS No. 94</t>
    </r>
    <r>
      <rPr>
        <b/>
        <sz val="9"/>
        <rFont val="Arial"/>
        <family val="2"/>
      </rPr>
      <t xml:space="preserve">) </t>
    </r>
    <r>
      <rPr>
        <sz val="9"/>
        <rFont val="Arial"/>
        <family val="2"/>
      </rPr>
      <t>- Provide the elimination entries that are needed to the footnote disclosure reported in Part 5.1 that are recorded on the Elimination Entries to FST tab for the HEI amounts</t>
    </r>
  </si>
  <si>
    <r>
      <t xml:space="preserve">  Long-term Operator Installment Payment Liabilities (</t>
    </r>
    <r>
      <rPr>
        <b/>
        <u/>
        <sz val="9"/>
        <rFont val="Arial"/>
        <family val="2"/>
      </rPr>
      <t>GASBS No. 94</t>
    </r>
    <r>
      <rPr>
        <sz val="9"/>
        <rFont val="Arial"/>
        <family val="2"/>
      </rPr>
      <t>)</t>
    </r>
  </si>
  <si>
    <r>
      <t>Lease Receivables (</t>
    </r>
    <r>
      <rPr>
        <b/>
        <u/>
        <sz val="9"/>
        <rFont val="Arial"/>
        <family val="2"/>
      </rPr>
      <t>GASBS No. 87</t>
    </r>
    <r>
      <rPr>
        <sz val="9"/>
        <rFont val="Arial"/>
        <family val="2"/>
      </rPr>
      <t>)</t>
    </r>
  </si>
  <si>
    <t>Amounts</t>
  </si>
  <si>
    <t>$ Total present value obligation in aggregate for all short-term subscription-based information technology arrangements:</t>
  </si>
  <si>
    <r>
      <t xml:space="preserve">Part 16)   </t>
    </r>
    <r>
      <rPr>
        <b/>
        <strike/>
        <u/>
        <sz val="9"/>
        <rFont val="Cambria"/>
        <family val="1"/>
      </rPr>
      <t>GASBS No. 60</t>
    </r>
    <r>
      <rPr>
        <b/>
        <strike/>
        <sz val="9"/>
        <rFont val="Cambria"/>
        <family val="1"/>
      </rPr>
      <t xml:space="preserve">, </t>
    </r>
    <r>
      <rPr>
        <i/>
        <strike/>
        <sz val="9"/>
        <rFont val="Cambria"/>
        <family val="1"/>
      </rPr>
      <t>Accounting and Financial Reporting for Service Concession Arrangements</t>
    </r>
  </si>
  <si>
    <r>
      <rPr>
        <b/>
        <strike/>
        <sz val="9"/>
        <rFont val="Cambria"/>
        <family val="1"/>
      </rPr>
      <t>Parts 17a to 17e</t>
    </r>
    <r>
      <rPr>
        <strike/>
        <sz val="9"/>
        <rFont val="Cambria"/>
        <family val="1"/>
      </rPr>
      <t xml:space="preserve"> are questions regarding service concession arrangements in which the </t>
    </r>
    <r>
      <rPr>
        <b/>
        <strike/>
        <sz val="9"/>
        <rFont val="Cambria"/>
        <family val="1"/>
      </rPr>
      <t>HEI is the transferor</t>
    </r>
    <r>
      <rPr>
        <strike/>
        <sz val="9"/>
        <rFont val="Cambria"/>
        <family val="1"/>
      </rPr>
      <t xml:space="preserve">.
</t>
    </r>
    <r>
      <rPr>
        <b/>
        <strike/>
        <sz val="9"/>
        <rFont val="Cambria"/>
        <family val="1"/>
      </rPr>
      <t>Parts 17f to 17j</t>
    </r>
    <r>
      <rPr>
        <strike/>
        <sz val="9"/>
        <rFont val="Cambria"/>
        <family val="1"/>
      </rPr>
      <t xml:space="preserve"> are questions regarding service concession arrangements in which the </t>
    </r>
    <r>
      <rPr>
        <b/>
        <strike/>
        <sz val="9"/>
        <rFont val="Cambria"/>
        <family val="1"/>
      </rPr>
      <t>HEI is the operator</t>
    </r>
    <r>
      <rPr>
        <strike/>
        <sz val="9"/>
        <rFont val="Cambria"/>
        <family val="1"/>
      </rPr>
      <t xml:space="preserve">.
</t>
    </r>
    <r>
      <rPr>
        <b/>
        <strike/>
        <sz val="9"/>
        <rFont val="Cambria"/>
        <family val="1"/>
      </rPr>
      <t xml:space="preserve">
</t>
    </r>
  </si>
  <si>
    <r>
      <t xml:space="preserve">16)  Does the HEI have any service concession arrangements where the HEI qualifies as the </t>
    </r>
    <r>
      <rPr>
        <b/>
        <strike/>
        <sz val="9"/>
        <rFont val="Cambria"/>
        <family val="1"/>
      </rPr>
      <t>transferor</t>
    </r>
    <r>
      <rPr>
        <strike/>
        <sz val="9"/>
        <rFont val="Cambria"/>
        <family val="1"/>
      </rPr>
      <t xml:space="preserve"> or </t>
    </r>
    <r>
      <rPr>
        <b/>
        <strike/>
        <sz val="9"/>
        <rFont val="Cambria"/>
        <family val="1"/>
      </rPr>
      <t>operator</t>
    </r>
    <r>
      <rPr>
        <strike/>
        <sz val="9"/>
        <rFont val="Cambria"/>
        <family val="1"/>
      </rPr>
      <t xml:space="preserve"> in accordance with </t>
    </r>
    <r>
      <rPr>
        <b/>
        <strike/>
        <u/>
        <sz val="9"/>
        <rFont val="Cambria"/>
        <family val="1"/>
      </rPr>
      <t>GASBS No. 60</t>
    </r>
    <r>
      <rPr>
        <strike/>
        <sz val="9"/>
        <rFont val="Cambria"/>
        <family val="1"/>
      </rPr>
      <t xml:space="preserve"> requirements?  If yes, provide a description of the service concession arrangement(s) and applicable disclosures required per </t>
    </r>
    <r>
      <rPr>
        <b/>
        <strike/>
        <u/>
        <sz val="9"/>
        <rFont val="Cambria"/>
        <family val="1"/>
      </rPr>
      <t>GASBS No. 60</t>
    </r>
    <r>
      <rPr>
        <strike/>
        <u/>
        <sz val="9"/>
        <rFont val="Cambria"/>
        <family val="1"/>
      </rPr>
      <t>.</t>
    </r>
    <r>
      <rPr>
        <strike/>
        <sz val="9"/>
        <rFont val="Cambria"/>
        <family val="1"/>
      </rPr>
      <t xml:space="preserve">
</t>
    </r>
  </si>
  <si>
    <r>
      <t xml:space="preserve">17f)  If yes to questions 17a through 17d, are </t>
    </r>
    <r>
      <rPr>
        <b/>
        <strike/>
        <sz val="9"/>
        <rFont val="Cambria"/>
        <family val="1"/>
      </rPr>
      <t>all</t>
    </r>
    <r>
      <rPr>
        <strike/>
        <sz val="9"/>
        <rFont val="Cambria"/>
        <family val="1"/>
      </rPr>
      <t xml:space="preserve"> contracts that qualify as a Service Concession Arrangement in which the HEI is the transferor properly reported on the financial statement template in accordance with </t>
    </r>
    <r>
      <rPr>
        <strike/>
        <u/>
        <sz val="9"/>
        <rFont val="Cambria"/>
        <family val="1"/>
      </rPr>
      <t>GASBS No. 60</t>
    </r>
    <r>
      <rPr>
        <strike/>
        <sz val="9"/>
        <rFont val="Cambria"/>
        <family val="1"/>
      </rPr>
      <t xml:space="preserve"> as amended by </t>
    </r>
    <r>
      <rPr>
        <strike/>
        <u/>
        <sz val="9"/>
        <rFont val="Cambria"/>
        <family val="1"/>
      </rPr>
      <t>GASBS No. 72</t>
    </r>
    <r>
      <rPr>
        <strike/>
        <sz val="9"/>
        <rFont val="Cambria"/>
        <family val="1"/>
      </rPr>
      <t>?  If no, explain.</t>
    </r>
  </si>
  <si>
    <r>
      <rPr>
        <b/>
        <strike/>
        <sz val="9"/>
        <rFont val="Cambria"/>
        <family val="1"/>
      </rPr>
      <t xml:space="preserve">If yes to the first four questions 17a through 17d  for a single contract that qualifies as a service concession arrangement in which the HEI is the transferor, </t>
    </r>
    <r>
      <rPr>
        <strike/>
        <sz val="9"/>
        <rFont val="Cambria"/>
        <family val="1"/>
      </rPr>
      <t xml:space="preserve">provide a description of the service concession arrangement and operator in the space provided below.  
</t>
    </r>
    <r>
      <rPr>
        <b/>
        <strike/>
        <sz val="9"/>
        <rFont val="Cambria"/>
        <family val="1"/>
      </rPr>
      <t>If yes to question 17e</t>
    </r>
    <r>
      <rPr>
        <strike/>
        <sz val="9"/>
        <rFont val="Cambria"/>
        <family val="1"/>
      </rPr>
      <t xml:space="preserve">, for each additional contract that qualifies as a service concession arrangement in which the HEI is the transferor, provide a description of the service concession arrangement and the operator in the space provided below.
</t>
    </r>
  </si>
  <si>
    <r>
      <t xml:space="preserve">17f)  Does the HEI have any agreements in place with a government (transferor) where the </t>
    </r>
    <r>
      <rPr>
        <b/>
        <strike/>
        <sz val="9"/>
        <rFont val="Cambria"/>
        <family val="1"/>
      </rPr>
      <t xml:space="preserve">HEI  qualifies as the operator </t>
    </r>
    <r>
      <rPr>
        <strike/>
        <sz val="9"/>
        <rFont val="Cambria"/>
        <family val="1"/>
      </rPr>
      <t xml:space="preserve">in the following scenario?  The transferor conveyed to the HEI (operator) the right and related obligation to provide public services through the use and operation of a capital asset in exchange for significant consideration, such as an up-front payment, installment payments, a new facility, or improvements to an existing facility.
Note:  If the answer to Part 17f is "No," the answers to Parts 17g to 17j should be "N/A."
</t>
    </r>
  </si>
  <si>
    <r>
      <t xml:space="preserve">17l)  If yes to questions 17g through 17j, are </t>
    </r>
    <r>
      <rPr>
        <b/>
        <strike/>
        <sz val="9"/>
        <rFont val="Cambria"/>
        <family val="1"/>
      </rPr>
      <t>all</t>
    </r>
    <r>
      <rPr>
        <strike/>
        <sz val="9"/>
        <rFont val="Cambria"/>
        <family val="1"/>
      </rPr>
      <t xml:space="preserve"> contracts that qualify as a Service Concession Arrangement in which the HEI is the operator properly reported on the financial statement template in accordance with </t>
    </r>
    <r>
      <rPr>
        <strike/>
        <u/>
        <sz val="9"/>
        <rFont val="Cambria"/>
        <family val="1"/>
      </rPr>
      <t>GASBS No. 60</t>
    </r>
    <r>
      <rPr>
        <strike/>
        <sz val="9"/>
        <rFont val="Cambria"/>
        <family val="1"/>
      </rPr>
      <t>?  If no, explain.</t>
    </r>
  </si>
  <si>
    <r>
      <rPr>
        <b/>
        <strike/>
        <sz val="9"/>
        <rFont val="Cambria"/>
        <family val="1"/>
      </rPr>
      <t>If yes to the first four questions 17f through 17i,</t>
    </r>
    <r>
      <rPr>
        <strike/>
        <sz val="9"/>
        <rFont val="Cambria"/>
        <family val="1"/>
      </rPr>
      <t xml:space="preserve"> for a single contract that qualifies as a service concession arrangement in which the HEI is the operator,  provide a description of the service concession arrangement and transferor in the space provided below.  
</t>
    </r>
    <r>
      <rPr>
        <b/>
        <strike/>
        <sz val="9"/>
        <rFont val="Cambria"/>
        <family val="1"/>
      </rPr>
      <t>If yes to question 17j</t>
    </r>
    <r>
      <rPr>
        <strike/>
        <sz val="9"/>
        <rFont val="Cambria"/>
        <family val="1"/>
      </rPr>
      <t xml:space="preserve">, for each additional contract that qualifies as a service concession arrangement in which the HEI is the operator, provide a description of the service concession arrangement and transferor in the space provided below.
</t>
    </r>
  </si>
  <si>
    <r>
      <t xml:space="preserve">Part 16)  </t>
    </r>
    <r>
      <rPr>
        <b/>
        <u/>
        <sz val="9"/>
        <rFont val="Arial"/>
        <family val="2"/>
      </rPr>
      <t>GASBS No. 63</t>
    </r>
    <r>
      <rPr>
        <b/>
        <sz val="9"/>
        <rFont val="Arial"/>
        <family val="2"/>
      </rPr>
      <t>,</t>
    </r>
    <r>
      <rPr>
        <b/>
        <i/>
        <sz val="9"/>
        <rFont val="Arial"/>
        <family val="2"/>
      </rPr>
      <t xml:space="preserve"> </t>
    </r>
    <r>
      <rPr>
        <i/>
        <sz val="9"/>
        <rFont val="Arial"/>
        <family val="2"/>
      </rPr>
      <t>Financial Reporting of Deferred Outflows of Resources, Deferred Inflows of Resources, and Net Position</t>
    </r>
  </si>
  <si>
    <r>
      <t xml:space="preserve">2)  </t>
    </r>
    <r>
      <rPr>
        <b/>
        <strike/>
        <sz val="9"/>
        <rFont val="Arial"/>
        <family val="2"/>
      </rPr>
      <t>Service Concession Arrangements</t>
    </r>
    <r>
      <rPr>
        <strike/>
        <sz val="9"/>
        <rFont val="Arial"/>
        <family val="2"/>
      </rPr>
      <t xml:space="preserve"> - Amount the HEI as transferor reports for the difference between the acquisition value of a new facility purchased or constructed by the operator or the improvement of an existing facility by the operator and any contractual liabilities that the HEI as transferor reports under the SCA. (</t>
    </r>
    <r>
      <rPr>
        <b/>
        <strike/>
        <u/>
        <sz val="9"/>
        <rFont val="Arial"/>
        <family val="2"/>
      </rPr>
      <t>GASBS No. 60</t>
    </r>
    <r>
      <rPr>
        <strike/>
        <sz val="9"/>
        <rFont val="Arial"/>
        <family val="2"/>
      </rPr>
      <t xml:space="preserve"> paragraph 9, as amended by </t>
    </r>
    <r>
      <rPr>
        <b/>
        <strike/>
        <u/>
        <sz val="9"/>
        <rFont val="Arial"/>
        <family val="2"/>
      </rPr>
      <t>GASBS No. 72</t>
    </r>
    <r>
      <rPr>
        <strike/>
        <sz val="9"/>
        <rFont val="Arial"/>
        <family val="2"/>
      </rPr>
      <t xml:space="preserve"> paragraphs 79 and 85)
</t>
    </r>
  </si>
  <si>
    <r>
      <t xml:space="preserve">3)  </t>
    </r>
    <r>
      <rPr>
        <b/>
        <strike/>
        <sz val="9"/>
        <rFont val="Arial"/>
        <family val="2"/>
      </rPr>
      <t>Service Concession Arrangements</t>
    </r>
    <r>
      <rPr>
        <strike/>
        <sz val="9"/>
        <rFont val="Arial"/>
        <family val="2"/>
      </rPr>
      <t xml:space="preserve"> -  Amount the HEI as transferor reports for the difference between up-front or installment payments from the operator and any contractual liabilities that the transferor reports under the SCA.   (</t>
    </r>
    <r>
      <rPr>
        <b/>
        <strike/>
        <u/>
        <sz val="9"/>
        <rFont val="Arial"/>
        <family val="2"/>
      </rPr>
      <t>GASBS No. 60</t>
    </r>
    <r>
      <rPr>
        <strike/>
        <sz val="9"/>
        <rFont val="Arial"/>
        <family val="2"/>
      </rPr>
      <t xml:space="preserve"> paragraph 12)</t>
    </r>
  </si>
  <si>
    <r>
      <t xml:space="preserve">2)  </t>
    </r>
    <r>
      <rPr>
        <b/>
        <sz val="9"/>
        <rFont val="Arial"/>
        <family val="2"/>
      </rPr>
      <t xml:space="preserve">Refundings of Debt </t>
    </r>
    <r>
      <rPr>
        <sz val="9"/>
        <rFont val="Arial"/>
        <family val="2"/>
      </rPr>
      <t>- Deferral on debt defeasance - gain:  For current refundings and advance refundings resulting in debt defeasance and the reacquisition price is less than the net carrying amount of the old debt   (</t>
    </r>
    <r>
      <rPr>
        <b/>
        <u/>
        <sz val="9"/>
        <rFont val="Arial"/>
        <family val="2"/>
      </rPr>
      <t>GASBS No. 65</t>
    </r>
    <r>
      <rPr>
        <sz val="9"/>
        <rFont val="Arial"/>
        <family val="2"/>
      </rPr>
      <t xml:space="preserve"> paragraphs 5 &amp; 6)</t>
    </r>
  </si>
  <si>
    <r>
      <t xml:space="preserve">3)  </t>
    </r>
    <r>
      <rPr>
        <b/>
        <sz val="9"/>
        <rFont val="Arial"/>
        <family val="2"/>
      </rPr>
      <t>Refundings of Debt</t>
    </r>
    <r>
      <rPr>
        <sz val="9"/>
        <rFont val="Arial"/>
        <family val="2"/>
      </rPr>
      <t xml:space="preserve"> - A change in provisions of a lease resulting from a refunding, including an advance refunding, of tax-exempt debt by the lessor who then passes through the effect to the lessee and the lease continues to be classified as a lease by the lessee which decreases the lessee's lease obligation  (</t>
    </r>
    <r>
      <rPr>
        <b/>
        <u/>
        <sz val="9"/>
        <rFont val="Arial"/>
        <family val="2"/>
      </rPr>
      <t>GASBS No. 87</t>
    </r>
    <r>
      <rPr>
        <sz val="9"/>
        <rFont val="Arial"/>
        <family val="2"/>
      </rPr>
      <t xml:space="preserve"> paragraph 74)</t>
    </r>
  </si>
  <si>
    <r>
      <t xml:space="preserve">4)  </t>
    </r>
    <r>
      <rPr>
        <b/>
        <sz val="9"/>
        <rFont val="Arial"/>
        <family val="2"/>
      </rPr>
      <t>Government-Mandated &amp; Voluntary Nonexchange Transactions</t>
    </r>
    <r>
      <rPr>
        <sz val="9"/>
        <rFont val="Arial"/>
        <family val="2"/>
      </rPr>
      <t xml:space="preserve"> -   Resources received by recipients before time requirements are met, but after the other eligibility requirements have been met.  (</t>
    </r>
    <r>
      <rPr>
        <b/>
        <u/>
        <sz val="9"/>
        <rFont val="Arial"/>
        <family val="2"/>
      </rPr>
      <t>GASBS No. 65</t>
    </r>
    <r>
      <rPr>
        <sz val="9"/>
        <rFont val="Arial"/>
        <family val="2"/>
      </rPr>
      <t xml:space="preserve"> paragraphs 8 &amp; 10)</t>
    </r>
  </si>
  <si>
    <r>
      <t xml:space="preserve">5)  </t>
    </r>
    <r>
      <rPr>
        <b/>
        <sz val="9"/>
        <rFont val="Arial"/>
        <family val="2"/>
      </rPr>
      <t>Imposed Nonexchange Revenue Transactions</t>
    </r>
    <r>
      <rPr>
        <sz val="9"/>
        <rFont val="Arial"/>
        <family val="2"/>
      </rPr>
      <t xml:space="preserve"> - Amounts received or reported as a receivable before the period when resources are required to be used or when use is first permitted in which the enabling legislation includes time requirements  (</t>
    </r>
    <r>
      <rPr>
        <b/>
        <u/>
        <sz val="9"/>
        <rFont val="Arial"/>
        <family val="2"/>
      </rPr>
      <t>GASBS No. 65</t>
    </r>
    <r>
      <rPr>
        <sz val="9"/>
        <rFont val="Arial"/>
        <family val="2"/>
      </rPr>
      <t xml:space="preserve"> paragraphs 8 &amp; 9).  </t>
    </r>
  </si>
  <si>
    <r>
      <t xml:space="preserve">6)  </t>
    </r>
    <r>
      <rPr>
        <b/>
        <sz val="9"/>
        <rFont val="Arial"/>
        <family val="2"/>
      </rPr>
      <t xml:space="preserve">Sale of Future Revenues &amp; Intra-Entity Transfers of Future Revenues </t>
    </r>
    <r>
      <rPr>
        <sz val="9"/>
        <rFont val="Arial"/>
        <family val="2"/>
      </rPr>
      <t>- Amount a transferor government receives as proceeds in the sale of future revenue transactions except for instances requiring revenue recognition in the period of sale as discussed in</t>
    </r>
    <r>
      <rPr>
        <u/>
        <sz val="9"/>
        <rFont val="Arial"/>
        <family val="2"/>
      </rPr>
      <t xml:space="preserve"> </t>
    </r>
    <r>
      <rPr>
        <b/>
        <u/>
        <sz val="9"/>
        <rFont val="Arial"/>
        <family val="2"/>
      </rPr>
      <t>GASBS No. 48</t>
    </r>
    <r>
      <rPr>
        <sz val="9"/>
        <rFont val="Arial"/>
        <family val="2"/>
      </rPr>
      <t xml:space="preserve"> paragraph 14  </t>
    </r>
    <r>
      <rPr>
        <u/>
        <sz val="9"/>
        <rFont val="Arial"/>
        <family val="2"/>
      </rPr>
      <t>(</t>
    </r>
    <r>
      <rPr>
        <b/>
        <u/>
        <sz val="9"/>
        <rFont val="Arial"/>
        <family val="2"/>
      </rPr>
      <t>GASBS No. 65</t>
    </r>
    <r>
      <rPr>
        <sz val="9"/>
        <rFont val="Arial"/>
        <family val="2"/>
      </rPr>
      <t xml:space="preserve"> paragraphs 11, 12 &amp;  13)</t>
    </r>
  </si>
  <si>
    <r>
      <t xml:space="preserve">7)  </t>
    </r>
    <r>
      <rPr>
        <b/>
        <sz val="9"/>
        <rFont val="Arial"/>
        <family val="2"/>
      </rPr>
      <t xml:space="preserve">Sale-Leaseback Transactions </t>
    </r>
    <r>
      <rPr>
        <sz val="9"/>
        <rFont val="Arial"/>
        <family val="2"/>
      </rPr>
      <t>- Gain on the sale of property that is accompanied by a leaseback of all or any part of the property for all or part of its remaining economic life (</t>
    </r>
    <r>
      <rPr>
        <b/>
        <u/>
        <sz val="9"/>
        <rFont val="Arial"/>
        <family val="2"/>
      </rPr>
      <t>GASBS No. 87</t>
    </r>
    <r>
      <rPr>
        <sz val="9"/>
        <rFont val="Arial"/>
        <family val="2"/>
      </rPr>
      <t xml:space="preserve"> paragraphs 82-86)</t>
    </r>
  </si>
  <si>
    <r>
      <t xml:space="preserve">8)  </t>
    </r>
    <r>
      <rPr>
        <b/>
        <sz val="9"/>
        <rFont val="Arial"/>
        <family val="2"/>
      </rPr>
      <t xml:space="preserve">Lending Activities </t>
    </r>
    <r>
      <rPr>
        <sz val="9"/>
        <rFont val="Arial"/>
        <family val="2"/>
      </rPr>
      <t>- Points received by lender in relation to a loan origination   (</t>
    </r>
    <r>
      <rPr>
        <b/>
        <u/>
        <sz val="9"/>
        <rFont val="Arial"/>
        <family val="2"/>
      </rPr>
      <t>GASBS No. 65</t>
    </r>
    <r>
      <rPr>
        <sz val="9"/>
        <rFont val="Arial"/>
        <family val="2"/>
      </rPr>
      <t xml:space="preserve"> paragraphs 21 &amp; 22)</t>
    </r>
  </si>
  <si>
    <r>
      <t xml:space="preserve">9)  </t>
    </r>
    <r>
      <rPr>
        <b/>
        <sz val="9"/>
        <rFont val="Arial"/>
        <family val="2"/>
      </rPr>
      <t>Mortgage Banking Activities</t>
    </r>
    <r>
      <rPr>
        <sz val="9"/>
        <rFont val="Arial"/>
        <family val="2"/>
      </rPr>
      <t xml:space="preserve"> - Points received by lender for loans held for investment   (</t>
    </r>
    <r>
      <rPr>
        <b/>
        <u/>
        <sz val="9"/>
        <rFont val="Arial"/>
        <family val="2"/>
      </rPr>
      <t>GASBS No. 65</t>
    </r>
    <r>
      <rPr>
        <sz val="9"/>
        <rFont val="Arial"/>
        <family val="2"/>
      </rPr>
      <t xml:space="preserve"> paragraph 25 &amp; 26)</t>
    </r>
  </si>
  <si>
    <r>
      <t xml:space="preserve">10)  </t>
    </r>
    <r>
      <rPr>
        <b/>
        <sz val="9"/>
        <rFont val="Arial"/>
        <family val="2"/>
      </rPr>
      <t>Mortgage Banking Activities</t>
    </r>
    <r>
      <rPr>
        <sz val="9"/>
        <rFont val="Arial"/>
        <family val="2"/>
      </rPr>
      <t xml:space="preserve"> - Origination fees, including any portion related to points, received by lender for loans held for sale  (</t>
    </r>
    <r>
      <rPr>
        <b/>
        <u/>
        <sz val="9"/>
        <rFont val="Arial"/>
        <family val="2"/>
      </rPr>
      <t>GASBS No. 65</t>
    </r>
    <r>
      <rPr>
        <sz val="9"/>
        <rFont val="Arial"/>
        <family val="2"/>
      </rPr>
      <t xml:space="preserve"> paragraph 25 &amp; 26)
</t>
    </r>
  </si>
  <si>
    <r>
      <t xml:space="preserve">11)  </t>
    </r>
    <r>
      <rPr>
        <b/>
        <sz val="9"/>
        <rFont val="Arial"/>
        <family val="2"/>
      </rPr>
      <t>Regulated Operations -</t>
    </r>
    <r>
      <rPr>
        <sz val="9"/>
        <rFont val="Arial"/>
        <family val="2"/>
      </rPr>
      <t xml:space="preserve"> Regulator's rate actions that result in an acquisition of net assets from the regulated business-type activity's customers that is applicable to a future reporting period (</t>
    </r>
    <r>
      <rPr>
        <b/>
        <u/>
        <sz val="9"/>
        <rFont val="Arial"/>
        <family val="2"/>
      </rPr>
      <t>GASBS No. 65</t>
    </r>
    <r>
      <rPr>
        <sz val="9"/>
        <rFont val="Arial"/>
        <family val="2"/>
      </rPr>
      <t xml:space="preserve"> paragraphs 28-29)</t>
    </r>
  </si>
  <si>
    <r>
      <t>12)</t>
    </r>
    <r>
      <rPr>
        <b/>
        <sz val="9"/>
        <rFont val="Arial"/>
        <family val="2"/>
      </rPr>
      <t xml:space="preserve"> Pension-Related </t>
    </r>
    <r>
      <rPr>
        <sz val="9"/>
        <rFont val="Arial"/>
        <family val="2"/>
      </rPr>
      <t>- VRS defined benefit pension plans (</t>
    </r>
    <r>
      <rPr>
        <b/>
        <u/>
        <sz val="9"/>
        <rFont val="Arial"/>
        <family val="2"/>
      </rPr>
      <t>GASBS No. 68</t>
    </r>
    <r>
      <rPr>
        <u/>
        <sz val="9"/>
        <rFont val="Arial"/>
        <family val="2"/>
      </rPr>
      <t>)</t>
    </r>
  </si>
  <si>
    <r>
      <t>13)</t>
    </r>
    <r>
      <rPr>
        <b/>
        <sz val="9"/>
        <rFont val="Arial"/>
        <family val="2"/>
      </rPr>
      <t xml:space="preserve"> Pension-Related </t>
    </r>
    <r>
      <rPr>
        <sz val="9"/>
        <rFont val="Arial"/>
        <family val="2"/>
      </rPr>
      <t>- Other defined benefit pension plans (not with VRS) (</t>
    </r>
    <r>
      <rPr>
        <b/>
        <u/>
        <sz val="9"/>
        <rFont val="Arial"/>
        <family val="2"/>
      </rPr>
      <t>GASBS No. 68</t>
    </r>
    <r>
      <rPr>
        <u/>
        <sz val="9"/>
        <rFont val="Arial"/>
        <family val="2"/>
      </rPr>
      <t>)</t>
    </r>
  </si>
  <si>
    <r>
      <t>14)</t>
    </r>
    <r>
      <rPr>
        <b/>
        <sz val="9"/>
        <rFont val="Arial"/>
        <family val="2"/>
      </rPr>
      <t xml:space="preserve"> Other Postemployment Benefits-Related </t>
    </r>
    <r>
      <rPr>
        <sz val="9"/>
        <rFont val="Arial"/>
        <family val="2"/>
      </rPr>
      <t>- VRS other postemployment benefit plans - with a trust (</t>
    </r>
    <r>
      <rPr>
        <b/>
        <u/>
        <sz val="9"/>
        <rFont val="Arial"/>
        <family val="2"/>
      </rPr>
      <t>GASBS No. 75</t>
    </r>
    <r>
      <rPr>
        <u/>
        <sz val="9"/>
        <rFont val="Arial"/>
        <family val="2"/>
      </rPr>
      <t>)</t>
    </r>
  </si>
  <si>
    <r>
      <t>15)</t>
    </r>
    <r>
      <rPr>
        <b/>
        <sz val="9"/>
        <rFont val="Arial"/>
        <family val="2"/>
      </rPr>
      <t xml:space="preserve"> Other Postemployment Benefits-Related </t>
    </r>
    <r>
      <rPr>
        <sz val="9"/>
        <rFont val="Arial"/>
        <family val="2"/>
      </rPr>
      <t xml:space="preserve">- DHRM other postemployment benefit plan - </t>
    </r>
    <r>
      <rPr>
        <u/>
        <sz val="9"/>
        <rFont val="Arial"/>
        <family val="2"/>
      </rPr>
      <t>not</t>
    </r>
    <r>
      <rPr>
        <sz val="9"/>
        <rFont val="Arial"/>
        <family val="2"/>
      </rPr>
      <t xml:space="preserve"> with a trust (pre-medicare) (</t>
    </r>
    <r>
      <rPr>
        <b/>
        <u/>
        <sz val="9"/>
        <rFont val="Arial"/>
        <family val="2"/>
      </rPr>
      <t>GASBS No. 75</t>
    </r>
    <r>
      <rPr>
        <u/>
        <sz val="9"/>
        <rFont val="Arial"/>
        <family val="2"/>
      </rPr>
      <t>)</t>
    </r>
  </si>
  <si>
    <r>
      <t>16)</t>
    </r>
    <r>
      <rPr>
        <b/>
        <sz val="9"/>
        <rFont val="Arial"/>
        <family val="2"/>
      </rPr>
      <t xml:space="preserve"> Other Postemployment Benefits-Related </t>
    </r>
    <r>
      <rPr>
        <sz val="9"/>
        <rFont val="Arial"/>
        <family val="2"/>
      </rPr>
      <t>-  Other postemployment benefit plans - with a trust (not with VRS)  (</t>
    </r>
    <r>
      <rPr>
        <b/>
        <u/>
        <sz val="9"/>
        <rFont val="Arial"/>
        <family val="2"/>
      </rPr>
      <t>GASBS No. 75</t>
    </r>
    <r>
      <rPr>
        <u/>
        <sz val="9"/>
        <rFont val="Arial"/>
        <family val="2"/>
      </rPr>
      <t>)</t>
    </r>
  </si>
  <si>
    <r>
      <t>17)</t>
    </r>
    <r>
      <rPr>
        <b/>
        <sz val="9"/>
        <rFont val="Arial"/>
        <family val="2"/>
      </rPr>
      <t xml:space="preserve"> Other Postemployment Benefits-Related </t>
    </r>
    <r>
      <rPr>
        <sz val="9"/>
        <rFont val="Arial"/>
        <family val="2"/>
      </rPr>
      <t xml:space="preserve">-  Other postemployment benefit plans - </t>
    </r>
    <r>
      <rPr>
        <u/>
        <sz val="9"/>
        <rFont val="Arial"/>
        <family val="2"/>
      </rPr>
      <t>not</t>
    </r>
    <r>
      <rPr>
        <sz val="9"/>
        <rFont val="Arial"/>
        <family val="2"/>
      </rPr>
      <t xml:space="preserve"> with a trust (not with DHRM)  (</t>
    </r>
    <r>
      <rPr>
        <b/>
        <u/>
        <sz val="9"/>
        <rFont val="Arial"/>
        <family val="2"/>
      </rPr>
      <t>GASBS No. 75</t>
    </r>
    <r>
      <rPr>
        <u/>
        <sz val="9"/>
        <rFont val="Arial"/>
        <family val="2"/>
      </rPr>
      <t>)</t>
    </r>
  </si>
  <si>
    <r>
      <t xml:space="preserve">18) </t>
    </r>
    <r>
      <rPr>
        <b/>
        <sz val="9"/>
        <rFont val="Arial"/>
        <family val="2"/>
      </rPr>
      <t>Irrevocable Split-Interest Agreements</t>
    </r>
    <r>
      <rPr>
        <sz val="9"/>
        <rFont val="Arial"/>
        <family val="2"/>
      </rPr>
      <t xml:space="preserve"> - Government's beneficial interest in an irrevocable split-interest agreement (</t>
    </r>
    <r>
      <rPr>
        <b/>
        <u/>
        <sz val="9"/>
        <rFont val="Arial"/>
        <family val="2"/>
      </rPr>
      <t>GASBS No. 81</t>
    </r>
    <r>
      <rPr>
        <sz val="9"/>
        <rFont val="Arial"/>
        <family val="2"/>
      </rPr>
      <t>)</t>
    </r>
  </si>
  <si>
    <r>
      <rPr>
        <b/>
        <sz val="9"/>
        <rFont val="Arial"/>
        <family val="2"/>
      </rPr>
      <t>17a)   Nonexchange Financial Guarantees - HEI  guarantees obligations of others</t>
    </r>
    <r>
      <rPr>
        <sz val="9"/>
        <rFont val="Arial"/>
        <family val="2"/>
      </rPr>
      <t xml:space="preserve">:  Does the HEI  (guarantor) extend a nonexchange financial guarantee for the obligations of a legally separate entity* or individual (issuers) without receiving equal or approximately equal value in exchange?   </t>
    </r>
    <r>
      <rPr>
        <b/>
        <sz val="9"/>
        <rFont val="Arial"/>
        <family val="2"/>
      </rPr>
      <t xml:space="preserve">
</t>
    </r>
    <r>
      <rPr>
        <sz val="9"/>
        <rFont val="Arial"/>
        <family val="2"/>
      </rPr>
      <t xml:space="preserve">
Note*: A legally separate entity includes other governments and nongovernmental entities (e.g., not-for profit organizations, private entities, etc.) and blended or discretely presented component units of the HEI.     
</t>
    </r>
  </si>
  <si>
    <r>
      <rPr>
        <b/>
        <sz val="9"/>
        <rFont val="Arial"/>
        <family val="2"/>
      </rPr>
      <t>17c)  Nonexchange Financial Guarantees -  Others guarantee obligations of HEI</t>
    </r>
    <r>
      <rPr>
        <sz val="9"/>
        <rFont val="Arial"/>
        <family val="2"/>
      </rPr>
      <t xml:space="preserve">:  Did the HEI  receive a nonexchange financial guarantee for the obligation(s) of the HEI (issuer) from a  legally separate entity* or individual  (guarantor) without giving equal or approximately equal value in exchange?   </t>
    </r>
    <r>
      <rPr>
        <b/>
        <sz val="9"/>
        <rFont val="Arial"/>
        <family val="2"/>
      </rPr>
      <t xml:space="preserve">
</t>
    </r>
    <r>
      <rPr>
        <sz val="9"/>
        <rFont val="Arial"/>
        <family val="2"/>
      </rPr>
      <t xml:space="preserve">
Note*: A legally separate entity includes other governments and nongovernmental entities (e.g., not-for profit organizations, private entities, etc.), and blended or discretely presented component units of the HEI.
</t>
    </r>
  </si>
  <si>
    <r>
      <rPr>
        <b/>
        <sz val="9"/>
        <color theme="1"/>
        <rFont val="Arial"/>
        <family val="2"/>
      </rPr>
      <t xml:space="preserve">Part 18) </t>
    </r>
    <r>
      <rPr>
        <b/>
        <u/>
        <sz val="9"/>
        <color theme="1"/>
        <rFont val="Arial"/>
        <family val="2"/>
      </rPr>
      <t>GASBS No. 72</t>
    </r>
    <r>
      <rPr>
        <sz val="9"/>
        <color theme="1"/>
        <rFont val="Arial"/>
        <family val="2"/>
      </rPr>
      <t xml:space="preserve">, </t>
    </r>
    <r>
      <rPr>
        <i/>
        <sz val="9"/>
        <color theme="1"/>
        <rFont val="Arial"/>
        <family val="2"/>
      </rPr>
      <t>Fair Value Measurement and Application</t>
    </r>
  </si>
  <si>
    <t>Part 19) Demand Bonds and Callable Bonds because of Debt Violations</t>
  </si>
  <si>
    <r>
      <rPr>
        <b/>
        <sz val="9"/>
        <rFont val="Arial"/>
        <family val="2"/>
      </rPr>
      <t xml:space="preserve">19a) </t>
    </r>
    <r>
      <rPr>
        <sz val="9"/>
        <rFont val="Arial"/>
        <family val="2"/>
      </rPr>
      <t>Does the HEI have demand bonds or bonds that are callable because of debt violations?</t>
    </r>
  </si>
  <si>
    <r>
      <t xml:space="preserve">Part 20)   </t>
    </r>
    <r>
      <rPr>
        <b/>
        <u/>
        <sz val="9"/>
        <rFont val="Arial"/>
        <family val="2"/>
      </rPr>
      <t>GASBS No. 83</t>
    </r>
    <r>
      <rPr>
        <b/>
        <sz val="9"/>
        <rFont val="Arial"/>
        <family val="2"/>
      </rPr>
      <t xml:space="preserve">, </t>
    </r>
    <r>
      <rPr>
        <i/>
        <sz val="9"/>
        <rFont val="Arial"/>
        <family val="2"/>
      </rPr>
      <t>Certain Asset Retirement Obligations</t>
    </r>
  </si>
  <si>
    <r>
      <t xml:space="preserve">21a) </t>
    </r>
    <r>
      <rPr>
        <b/>
        <u/>
        <sz val="9"/>
        <rFont val="Arial"/>
        <family val="2"/>
      </rPr>
      <t>GASBS No. 87</t>
    </r>
    <r>
      <rPr>
        <b/>
        <sz val="9"/>
        <rFont val="Arial"/>
        <family val="2"/>
      </rPr>
      <t xml:space="preserve">, </t>
    </r>
    <r>
      <rPr>
        <i/>
        <sz val="9"/>
        <rFont val="Arial"/>
        <family val="2"/>
      </rPr>
      <t>Leases</t>
    </r>
    <r>
      <rPr>
        <b/>
        <sz val="9"/>
        <rFont val="Arial"/>
        <family val="2"/>
      </rPr>
      <t xml:space="preserve"> (Note: </t>
    </r>
    <r>
      <rPr>
        <sz val="9"/>
        <rFont val="Arial"/>
        <family val="2"/>
      </rPr>
      <t>DOA may request additional information in a separate communication.)</t>
    </r>
  </si>
  <si>
    <r>
      <t xml:space="preserve">21b) </t>
    </r>
    <r>
      <rPr>
        <b/>
        <u/>
        <sz val="9"/>
        <rFont val="Arial"/>
        <family val="2"/>
      </rPr>
      <t>GASBS No. 87</t>
    </r>
    <r>
      <rPr>
        <b/>
        <sz val="9"/>
        <rFont val="Arial"/>
        <family val="2"/>
      </rPr>
      <t xml:space="preserve">, </t>
    </r>
    <r>
      <rPr>
        <i/>
        <sz val="9"/>
        <rFont val="Arial"/>
        <family val="2"/>
      </rPr>
      <t>Leases</t>
    </r>
    <r>
      <rPr>
        <b/>
        <sz val="9"/>
        <rFont val="Arial"/>
        <family val="2"/>
      </rPr>
      <t xml:space="preserve"> (Note: </t>
    </r>
    <r>
      <rPr>
        <sz val="9"/>
        <rFont val="Arial"/>
        <family val="2"/>
      </rPr>
      <t>DOA may request additional information in a separate communication.)</t>
    </r>
  </si>
  <si>
    <r>
      <t xml:space="preserve">Part 22)  </t>
    </r>
    <r>
      <rPr>
        <b/>
        <u/>
        <sz val="9"/>
        <rFont val="Arial"/>
        <family val="2"/>
      </rPr>
      <t>GASBS No. 88</t>
    </r>
    <r>
      <rPr>
        <sz val="9"/>
        <rFont val="Arial"/>
        <family val="2"/>
      </rPr>
      <t xml:space="preserve">, </t>
    </r>
    <r>
      <rPr>
        <i/>
        <sz val="9"/>
        <rFont val="Arial"/>
        <family val="2"/>
      </rPr>
      <t>Certain Disclosures Related to Debt, including Direct Borrowings and Direct Placements</t>
    </r>
  </si>
  <si>
    <r>
      <t xml:space="preserve">22c)  Terms Specified in Debt Agreements: </t>
    </r>
    <r>
      <rPr>
        <sz val="9"/>
        <rFont val="Arial"/>
        <family val="2"/>
      </rPr>
      <t xml:space="preserve"> Does the HEI have terms specified in debt agreements related to the following significant:</t>
    </r>
    <r>
      <rPr>
        <b/>
        <sz val="9"/>
        <rFont val="Arial"/>
        <family val="2"/>
      </rPr>
      <t xml:space="preserve">
</t>
    </r>
  </si>
  <si>
    <r>
      <t xml:space="preserve">Part 24) </t>
    </r>
    <r>
      <rPr>
        <b/>
        <u/>
        <sz val="9"/>
        <rFont val="Arial"/>
        <family val="2"/>
      </rPr>
      <t>GASBS No. 94</t>
    </r>
    <r>
      <rPr>
        <b/>
        <sz val="9"/>
        <rFont val="Arial"/>
        <family val="2"/>
      </rPr>
      <t xml:space="preserve">, </t>
    </r>
    <r>
      <rPr>
        <b/>
        <i/>
        <sz val="9"/>
        <rFont val="Arial"/>
        <family val="2"/>
      </rPr>
      <t>Public- Private and Public- Public Partnerships and Availability Payment Arrangements:</t>
    </r>
  </si>
  <si>
    <r>
      <t xml:space="preserve">24d) </t>
    </r>
    <r>
      <rPr>
        <b/>
        <sz val="9"/>
        <rFont val="Arial"/>
        <family val="2"/>
      </rPr>
      <t>Other PPP arrangements</t>
    </r>
    <r>
      <rPr>
        <sz val="9"/>
        <rFont val="Arial"/>
        <family val="2"/>
      </rPr>
      <t xml:space="preserve">: Does the HEI have any PPP arrangements that do NOT qualify as a SCA (question 24b) and are NOT considered leases (question 24c), pursuant to </t>
    </r>
    <r>
      <rPr>
        <b/>
        <u/>
        <sz val="9"/>
        <rFont val="Arial"/>
        <family val="2"/>
      </rPr>
      <t>GASBS No. 94</t>
    </r>
    <r>
      <rPr>
        <sz val="9"/>
        <rFont val="Arial"/>
        <family val="2"/>
      </rPr>
      <t xml:space="preserve"> requirements?
If yes, please provide the following information for all arrangements: general description, operator or transferor, installment payments, upfront payments, information relating to underlying PPP asset (new, existing, being constructed), and </t>
    </r>
    <r>
      <rPr>
        <b/>
        <u/>
        <sz val="9"/>
        <rFont val="Arial"/>
        <family val="2"/>
      </rPr>
      <t>GASBS No. 94</t>
    </r>
    <r>
      <rPr>
        <sz val="9"/>
        <rFont val="Arial"/>
        <family val="2"/>
      </rPr>
      <t xml:space="preserve"> footnote disclosures.</t>
    </r>
  </si>
  <si>
    <r>
      <t xml:space="preserve">LT Liabilities: Due Within One Year -Financed Purchase Obligations </t>
    </r>
    <r>
      <rPr>
        <b/>
        <u/>
        <sz val="9"/>
        <rFont val="Arial"/>
        <family val="2"/>
      </rPr>
      <t>(GASBS Nos. 87 &amp; 94)</t>
    </r>
  </si>
  <si>
    <r>
      <t>LT Liabilities: Due in More Than One Year - Financed Purchase Obligations (</t>
    </r>
    <r>
      <rPr>
        <b/>
        <u/>
        <sz val="9"/>
        <rFont val="Arial"/>
        <family val="2"/>
      </rPr>
      <t>GASBS Nos. 87 &amp; 94</t>
    </r>
    <r>
      <rPr>
        <sz val="9"/>
        <rFont val="Arial"/>
        <family val="2"/>
      </rPr>
      <t>)</t>
    </r>
  </si>
  <si>
    <r>
      <t>LT Liabilities: Due Within One Year - Long-term Operator Installment Payment Liabilities (</t>
    </r>
    <r>
      <rPr>
        <b/>
        <u/>
        <sz val="9"/>
        <rFont val="Arial"/>
        <family val="2"/>
      </rPr>
      <t>GASBS No.94</t>
    </r>
    <r>
      <rPr>
        <sz val="9"/>
        <rFont val="Arial"/>
        <family val="2"/>
      </rPr>
      <t>)</t>
    </r>
  </si>
  <si>
    <t>2029 &amp; Thereafter</t>
  </si>
  <si>
    <t>New FASB Lease Requirements:   If a foundation implemented the new FASB lease requirements for FY 2023 or earlier and the foundation is the lessee, record Operating Lease Liabilities and Finance Lease Liabilities on the Combining FST's Long-Term Liabilities-Other-due within one year for the current portion and the Long-Term Liabilities-Other-due in More than One Year for the noncurrent portion.   Also, report the operating lease liabilities separate from the finance lease liabilities on the TAB F5 Part 3.  Report the Finance Lease Right-of-Use Assets and the Operating Lease Right-of-Use-Assets on the applicable Combining FST's Capital Asset and/or Other Assets line items.   If reported on the "Other Assets" line item, report separately on the TAB F7 Part 5a.  DOA may request additional information in a separate communication.
Note:  If a foundation has not implemented the new FASB lease requirements, provide operating lease commitments with outside entities in the new category added in Part 2b, if applicable.</t>
  </si>
  <si>
    <t xml:space="preserve">Part 1) New FASB Lease Requirements:  Did the foundation implement the new FASB lease requirements for FY 2023 or earlier?   </t>
  </si>
  <si>
    <t>TAB 5-Parts 1 &amp; 5.1/TAB 9</t>
  </si>
  <si>
    <t>If yes, provide a description of the event or change in circumstances, month/year it took place, the possible impaired capital assets, and then go to B. 
 If no, go to Part 3.3.</t>
  </si>
  <si>
    <r>
      <t xml:space="preserve">Part 3.1) </t>
    </r>
    <r>
      <rPr>
        <b/>
        <u/>
        <sz val="8"/>
        <rFont val="Arial"/>
        <family val="2"/>
      </rPr>
      <t>GASBS Statement No. 42</t>
    </r>
    <r>
      <rPr>
        <b/>
        <sz val="8"/>
        <rFont val="Arial"/>
        <family val="2"/>
      </rPr>
      <t xml:space="preserve">, </t>
    </r>
    <r>
      <rPr>
        <i/>
        <sz val="8"/>
        <rFont val="Arial"/>
        <family val="2"/>
      </rPr>
      <t>Accounting and Financial Reporting for Impairment of Capital Assets and for Insurance Recoveries</t>
    </r>
    <r>
      <rPr>
        <sz val="8"/>
        <rFont val="Arial"/>
        <family val="2"/>
      </rPr>
      <t xml:space="preserve">, </t>
    </r>
    <r>
      <rPr>
        <b/>
        <u/>
        <sz val="8"/>
        <rFont val="Arial"/>
        <family val="2"/>
      </rPr>
      <t>GASBS No. 87</t>
    </r>
    <r>
      <rPr>
        <sz val="8"/>
        <rFont val="Arial"/>
        <family val="2"/>
      </rPr>
      <t>,</t>
    </r>
    <r>
      <rPr>
        <i/>
        <sz val="8"/>
        <rFont val="Arial"/>
        <family val="2"/>
      </rPr>
      <t xml:space="preserve"> Leases,</t>
    </r>
    <r>
      <rPr>
        <sz val="8"/>
        <rFont val="Arial"/>
        <family val="2"/>
      </rPr>
      <t xml:space="preserve"> </t>
    </r>
    <r>
      <rPr>
        <b/>
        <u/>
        <sz val="8"/>
        <rFont val="Arial"/>
        <family val="2"/>
      </rPr>
      <t>GASBS No. 94</t>
    </r>
    <r>
      <rPr>
        <sz val="8"/>
        <rFont val="Arial"/>
        <family val="2"/>
      </rPr>
      <t xml:space="preserve">, </t>
    </r>
    <r>
      <rPr>
        <i/>
        <sz val="8"/>
        <rFont val="Arial"/>
        <family val="2"/>
      </rPr>
      <t>Public-Private and Public-Public Partnerships and Availability Payment Arrangements</t>
    </r>
    <r>
      <rPr>
        <sz val="8"/>
        <rFont val="Arial"/>
        <family val="2"/>
      </rPr>
      <t xml:space="preserve">, and </t>
    </r>
    <r>
      <rPr>
        <b/>
        <u/>
        <sz val="8"/>
        <rFont val="Arial"/>
        <family val="2"/>
      </rPr>
      <t>GASBS No. 96</t>
    </r>
    <r>
      <rPr>
        <i/>
        <sz val="8"/>
        <rFont val="Arial"/>
        <family val="2"/>
      </rPr>
      <t>, Subscription-based Information Technology Arrangements</t>
    </r>
    <r>
      <rPr>
        <sz val="8"/>
        <rFont val="Arial"/>
        <family val="2"/>
      </rPr>
      <t>:</t>
    </r>
  </si>
  <si>
    <r>
      <t xml:space="preserve">Long-term Operator Installment Payment Liabilities </t>
    </r>
    <r>
      <rPr>
        <b/>
        <sz val="9"/>
        <rFont val="Arial"/>
        <family val="2"/>
      </rPr>
      <t>(</t>
    </r>
    <r>
      <rPr>
        <b/>
        <u/>
        <sz val="9"/>
        <rFont val="Arial"/>
        <family val="2"/>
      </rPr>
      <t>GASBS No. 94</t>
    </r>
    <r>
      <rPr>
        <b/>
        <sz val="9"/>
        <rFont val="Arial"/>
        <family val="2"/>
      </rPr>
      <t>)</t>
    </r>
  </si>
  <si>
    <r>
      <t xml:space="preserve">Part 1)  </t>
    </r>
    <r>
      <rPr>
        <sz val="10"/>
        <rFont val="Arial"/>
        <family val="2"/>
      </rPr>
      <t xml:space="preserve">Future </t>
    </r>
    <r>
      <rPr>
        <b/>
        <sz val="10"/>
        <rFont val="Arial"/>
        <family val="2"/>
      </rPr>
      <t xml:space="preserve">commitments </t>
    </r>
    <r>
      <rPr>
        <sz val="10"/>
        <rFont val="Arial"/>
        <family val="2"/>
      </rPr>
      <t xml:space="preserve">reported by the foundation(s) as of year-end.  </t>
    </r>
  </si>
  <si>
    <t>1a)  Does the foundation have commitments as of year-end with an outside entity and not with the HEI or other foundations reported on the Combining FST that should be disclosed?</t>
  </si>
  <si>
    <t>If yes to Part 1a, complete Part 1b</t>
  </si>
  <si>
    <t>Operating Lease Liabilities (FASB standards)</t>
  </si>
  <si>
    <t>Finance Lease Liabilities (FASB standards)</t>
  </si>
  <si>
    <t>Complete Part 1</t>
  </si>
  <si>
    <r>
      <rPr>
        <b/>
        <sz val="9"/>
        <rFont val="Arial"/>
        <family val="2"/>
      </rPr>
      <t xml:space="preserve">19b) </t>
    </r>
    <r>
      <rPr>
        <sz val="9"/>
        <rFont val="Arial"/>
        <family val="2"/>
      </rPr>
      <t>If yes to 19a</t>
    </r>
    <r>
      <rPr>
        <b/>
        <sz val="9"/>
        <rFont val="Arial"/>
        <family val="2"/>
      </rPr>
      <t xml:space="preserve">, </t>
    </r>
    <r>
      <rPr>
        <sz val="9"/>
        <rFont val="Arial"/>
        <family val="2"/>
      </rPr>
      <t xml:space="preserve">are the HEI's demand bonds and bonds callable because of debt violations properly reported on the financial statement template?
Note: Demand bonds are required to be reported on the FST tab as a current liability (due within one year) if all criteria in GASBS Interpretation 1, paragraph 10 are not met. In addition, demand bonds require certain disclosures as required by GASBS Interpretation 1, paragraph 11. 
Bonds that are callable by the creditor because there has been a violation of a provision of the debt agreement as of year-end or because the violation, if not cured within a specified grace period, will make the bonds callable are required to be reported on the FST tab as a current liability (due within one year) if neither condition listed in </t>
    </r>
    <r>
      <rPr>
        <b/>
        <u/>
        <sz val="9"/>
        <rFont val="Arial"/>
        <family val="2"/>
      </rPr>
      <t>GASBS No. 62</t>
    </r>
    <r>
      <rPr>
        <sz val="9"/>
        <rFont val="Arial"/>
        <family val="2"/>
      </rPr>
      <t xml:space="preserve"> paragraphs 34a and 34b are met.</t>
    </r>
  </si>
  <si>
    <r>
      <t xml:space="preserve">Complete the following questions regarding  </t>
    </r>
    <r>
      <rPr>
        <b/>
        <u/>
        <sz val="9"/>
        <rFont val="Arial"/>
        <family val="2"/>
      </rPr>
      <t>GASBS No. 88</t>
    </r>
    <r>
      <rPr>
        <sz val="9"/>
        <rFont val="Arial"/>
        <family val="2"/>
      </rPr>
      <t xml:space="preserve"> disclosures for the HEI, excluding 9c bonds payable and VCBA Pooled bonds (notes payable) issued by the Department of Treasury, because this information  will be obtained from the Department of Treasury.  If not enough space is available, provide information requested in a separate document and submit along with the Attachment HE-10 submission.  DOA may request additional information in a separate communication.
Note:  FST amounts provided in Part 22 should be net of elimination entries reported on the Elimination Entries to FST for the HEI.  In addition, FST debt line items that are reported on the applicable "due within one year" and "due in more than one year" line items can be combined rather than listed separately.</t>
    </r>
  </si>
  <si>
    <t>If yes to 22c  items 1, 2, and/or 3, provide the FST debt line item, FST debt line item amount (net of eliminations), as well as the following:
Terms specified in the debt agreements related to significant (1) events of default with finance-related consequences, (2) termination events with finance-related consequences, and/or (3) subjective acceleration clauses.</t>
  </si>
  <si>
    <r>
      <t xml:space="preserve">  Financed Purchase Obligations (</t>
    </r>
    <r>
      <rPr>
        <b/>
        <u/>
        <sz val="9"/>
        <rFont val="Arial"/>
        <family val="2"/>
      </rPr>
      <t>GASBS Nos. 87 &amp; 94</t>
    </r>
    <r>
      <rPr>
        <b/>
        <sz val="9"/>
        <rFont val="Arial"/>
        <family val="2"/>
      </rPr>
      <t xml:space="preserve">) </t>
    </r>
    <r>
      <rPr>
        <sz val="9"/>
        <rFont val="Arial"/>
        <family val="2"/>
      </rPr>
      <t>(linked)</t>
    </r>
  </si>
  <si>
    <t>Informational:  Deferral on debt defeasance - loss:  Per TAB 7 Part 16a- item 2  - (Note: Amount is net of HEI eliminations.)</t>
  </si>
  <si>
    <t>Informational:  Deferral on debt defeasance - gain:  Per TAB 7 Part 16b- item 2 - (Note: Amount is net of HEI eliminations.)</t>
  </si>
  <si>
    <r>
      <t xml:space="preserve">20) </t>
    </r>
    <r>
      <rPr>
        <b/>
        <sz val="9"/>
        <rFont val="Arial"/>
        <family val="2"/>
      </rPr>
      <t>Certain Arrangements Associated with Conduit Debt Obligations</t>
    </r>
    <r>
      <rPr>
        <sz val="9"/>
        <rFont val="Arial"/>
        <family val="2"/>
      </rPr>
      <t>: In certain arrangements associated with conduit debt obligations and issuer retains title to capital asset and third- party obligor has exclusive use of portions of the capital asset (</t>
    </r>
    <r>
      <rPr>
        <b/>
        <u/>
        <sz val="9"/>
        <rFont val="Arial"/>
        <family val="2"/>
      </rPr>
      <t>GASBS No. 91</t>
    </r>
    <r>
      <rPr>
        <sz val="9"/>
        <rFont val="Arial"/>
        <family val="2"/>
      </rPr>
      <t xml:space="preserve"> paragraphs 22 and 23)</t>
    </r>
  </si>
  <si>
    <t>Institutional Commingled Funds</t>
  </si>
  <si>
    <t>Private Equity</t>
  </si>
  <si>
    <t>Fixed Income</t>
  </si>
  <si>
    <r>
      <t xml:space="preserve">21) </t>
    </r>
    <r>
      <rPr>
        <b/>
        <sz val="9"/>
        <rFont val="Arial"/>
        <family val="2"/>
      </rPr>
      <t xml:space="preserve">Public-Private and Public-Public Partnerships Arrangements  (PPPs) including Service Concession Arrangements (SCAs) </t>
    </r>
    <r>
      <rPr>
        <sz val="9"/>
        <rFont val="Arial"/>
        <family val="2"/>
      </rPr>
      <t>- Amounts associated with PPPs, including SCAs, when a government is the transferor. (</t>
    </r>
    <r>
      <rPr>
        <b/>
        <u/>
        <sz val="9"/>
        <rFont val="Arial"/>
        <family val="2"/>
      </rPr>
      <t>GASBS No. 94</t>
    </r>
    <r>
      <rPr>
        <sz val="9"/>
        <rFont val="Arial"/>
        <family val="2"/>
      </rPr>
      <t>)</t>
    </r>
  </si>
  <si>
    <r>
      <t xml:space="preserve">1b) If yes to Part 1a, complete the following for commitments with outside entities:   
</t>
    </r>
    <r>
      <rPr>
        <u/>
        <sz val="10"/>
        <rFont val="Arial"/>
        <family val="2"/>
      </rPr>
      <t>Note</t>
    </r>
    <r>
      <rPr>
        <sz val="10"/>
        <rFont val="Arial"/>
        <family val="2"/>
      </rPr>
      <t>:  Please do not include any amounts that are reported on the Combining FST tab.</t>
    </r>
  </si>
  <si>
    <r>
      <t xml:space="preserve">Financed Purchase Obligation </t>
    </r>
    <r>
      <rPr>
        <u/>
        <sz val="9"/>
        <rFont val="Arial"/>
        <family val="2"/>
      </rPr>
      <t>(</t>
    </r>
    <r>
      <rPr>
        <b/>
        <u/>
        <sz val="9"/>
        <rFont val="Arial"/>
        <family val="2"/>
      </rPr>
      <t>GASBS Nos. 87 &amp; 94)</t>
    </r>
  </si>
  <si>
    <t>TAB 7-Part 16</t>
  </si>
  <si>
    <t>Amounts Due Within One Year:  (see Note D)</t>
  </si>
  <si>
    <t>TAB 5-Part 7</t>
  </si>
  <si>
    <t xml:space="preserve">TAB 5-Part 7 </t>
  </si>
  <si>
    <t>TAB 5-Parts 7 &amp; 12/TAB 9</t>
  </si>
  <si>
    <t>TAB 5-Part 7/TAB 9</t>
  </si>
  <si>
    <t>TAB 5-Parts 7 &amp; 9/TAB 9</t>
  </si>
  <si>
    <t>TAB 5-Parts 7 &amp; 11.1/TAB 9</t>
  </si>
  <si>
    <t>TAB 5-Parts 7 &amp; 8/TAB 9</t>
  </si>
  <si>
    <t>TAB 5-Parts 7 &amp; 10/TAB 9</t>
  </si>
  <si>
    <r>
      <t>LT Liabilities: Due in More Than One Year - Long-term Operator Installment Payment Liabilities (</t>
    </r>
    <r>
      <rPr>
        <b/>
        <u/>
        <sz val="9"/>
        <rFont val="Arial"/>
        <family val="2"/>
      </rPr>
      <t>GASBS No.94</t>
    </r>
    <r>
      <rPr>
        <sz val="9"/>
        <rFont val="Arial"/>
        <family val="2"/>
      </rPr>
      <t>)</t>
    </r>
  </si>
  <si>
    <r>
      <t>Lease Receivables (</t>
    </r>
    <r>
      <rPr>
        <b/>
        <u/>
        <sz val="9"/>
        <rFont val="Arial"/>
        <family val="2"/>
      </rPr>
      <t>GASBS No. 87</t>
    </r>
    <r>
      <rPr>
        <sz val="9"/>
        <rFont val="Arial"/>
        <family val="2"/>
      </rPr>
      <t>)</t>
    </r>
  </si>
  <si>
    <r>
      <t xml:space="preserve">Note:  The above information is linked to the FST tab.  If any of the information is incorrect, key in correct information.   Capital assets reported in this tab also include intangible assets as required by </t>
    </r>
    <r>
      <rPr>
        <b/>
        <u/>
        <sz val="9"/>
        <rFont val="Arial"/>
        <family val="2"/>
      </rPr>
      <t>GASBS No. 51,</t>
    </r>
    <r>
      <rPr>
        <sz val="9"/>
        <rFont val="Arial"/>
        <family val="2"/>
      </rPr>
      <t xml:space="preserve"> Right-to-Use Intangible assets required by </t>
    </r>
    <r>
      <rPr>
        <b/>
        <u/>
        <sz val="9"/>
        <rFont val="Arial"/>
        <family val="2"/>
      </rPr>
      <t>GASBS No. 87</t>
    </r>
    <r>
      <rPr>
        <sz val="9"/>
        <rFont val="Arial"/>
        <family val="2"/>
      </rPr>
      <t xml:space="preserve">, Right-to-Use Intangible underlying PPP assets required by </t>
    </r>
    <r>
      <rPr>
        <b/>
        <u/>
        <sz val="9"/>
        <rFont val="Arial"/>
        <family val="2"/>
      </rPr>
      <t>GASBS No. 94</t>
    </r>
    <r>
      <rPr>
        <sz val="9"/>
        <rFont val="Arial"/>
        <family val="2"/>
      </rPr>
      <t xml:space="preserve"> for institutions considered the operator,</t>
    </r>
    <r>
      <rPr>
        <b/>
        <sz val="9"/>
        <rFont val="Arial"/>
        <family val="2"/>
      </rPr>
      <t xml:space="preserve"> </t>
    </r>
    <r>
      <rPr>
        <sz val="9"/>
        <rFont val="Arial"/>
        <family val="2"/>
      </rPr>
      <t xml:space="preserve">and Right-to-Use Intangible subscription assets required by </t>
    </r>
    <r>
      <rPr>
        <b/>
        <u/>
        <sz val="9"/>
        <rFont val="Arial"/>
        <family val="2"/>
      </rPr>
      <t>GASBS No.96</t>
    </r>
    <r>
      <rPr>
        <sz val="9"/>
        <rFont val="Arial"/>
        <family val="2"/>
      </rPr>
      <t xml:space="preserve">.                     </t>
    </r>
  </si>
  <si>
    <r>
      <t>Right-to-Use Intangible Underlying PPP
Assets (</t>
    </r>
    <r>
      <rPr>
        <b/>
        <u/>
        <sz val="8"/>
        <rFont val="Arial"/>
        <family val="2"/>
      </rPr>
      <t>GASBS No. 94</t>
    </r>
    <r>
      <rPr>
        <sz val="8"/>
        <rFont val="Arial"/>
        <family val="2"/>
      </rPr>
      <t>)</t>
    </r>
  </si>
  <si>
    <r>
      <t xml:space="preserve">Right-to-Use Intangible Underlying PPP 
Assets </t>
    </r>
    <r>
      <rPr>
        <b/>
        <u/>
        <sz val="8"/>
        <rFont val="Arial"/>
        <family val="2"/>
      </rPr>
      <t>(GASBS No. 94)</t>
    </r>
  </si>
  <si>
    <r>
      <t xml:space="preserve">Right-to-Use Intangible Underlying PPP
Assets </t>
    </r>
    <r>
      <rPr>
        <b/>
        <u/>
        <sz val="8"/>
        <rFont val="Arial"/>
        <family val="2"/>
      </rPr>
      <t>(GASBS No. 94)</t>
    </r>
  </si>
  <si>
    <r>
      <t xml:space="preserve">Prior to July 1, 2021, interest incurred during the construction of capital assets is included in the capitalized value of the assets. Starting July 1, 2021, and pursuant to </t>
    </r>
    <r>
      <rPr>
        <b/>
        <u/>
        <sz val="8"/>
        <rFont val="Arial"/>
        <family val="2"/>
      </rPr>
      <t>GASBS No. 89</t>
    </r>
    <r>
      <rPr>
        <sz val="8"/>
        <rFont val="Arial"/>
        <family val="2"/>
      </rPr>
      <t xml:space="preserve">, </t>
    </r>
    <r>
      <rPr>
        <i/>
        <sz val="8"/>
        <rFont val="Arial"/>
        <family val="2"/>
      </rPr>
      <t>Accounting for Interest Cost Incurred before the End of a Construction Period</t>
    </r>
    <r>
      <rPr>
        <sz val="8"/>
        <rFont val="Arial"/>
        <family val="2"/>
      </rPr>
      <t xml:space="preserve">, interest cost incurred before the end of the construction period are recognized as an expense in the period in which the cost is incurred and is not included in the capitalized value of the assets. Project expenses are classified as construction-in-progress if:  1) they exceed the capitalization criteria; 2) they extend the asset life, improve productivity, or improve the quality of service; and 3) they fall into the planning, acquisition, construction, improvement, renovation, repair, replacement, relocation or demolition phase of the asset life.   Note:  Construction-in-progress also includes expenses for the construction/development of internally generated intangible assets until substantially complete and operational in accordance with </t>
    </r>
    <r>
      <rPr>
        <b/>
        <u/>
        <sz val="8"/>
        <rFont val="Arial"/>
        <family val="2"/>
      </rPr>
      <t>GASBS No. 51</t>
    </r>
    <r>
      <rPr>
        <sz val="8"/>
        <rFont val="Arial"/>
        <family val="2"/>
      </rPr>
      <t xml:space="preserve">, </t>
    </r>
    <r>
      <rPr>
        <i/>
        <sz val="8"/>
        <rFont val="Arial"/>
        <family val="2"/>
      </rPr>
      <t>Accounting and Financial Reporting for Intangible Assets</t>
    </r>
    <r>
      <rPr>
        <sz val="8"/>
        <rFont val="Arial"/>
        <family val="2"/>
      </rPr>
      <t xml:space="preserve">, and then they are reclassified to the applicable intangible asset FST line item.  </t>
    </r>
  </si>
  <si>
    <r>
      <t xml:space="preserve">impairment of capital assets as described in </t>
    </r>
    <r>
      <rPr>
        <b/>
        <u/>
        <sz val="8"/>
        <rFont val="Arial"/>
        <family val="2"/>
      </rPr>
      <t>GASBS No. 42</t>
    </r>
    <r>
      <rPr>
        <sz val="8"/>
        <rFont val="Arial"/>
        <family val="2"/>
      </rPr>
      <t xml:space="preserve">, </t>
    </r>
    <r>
      <rPr>
        <b/>
        <u/>
        <sz val="8"/>
        <rFont val="Arial"/>
        <family val="2"/>
      </rPr>
      <t>GASBS No. 87</t>
    </r>
    <r>
      <rPr>
        <b/>
        <sz val="8"/>
        <rFont val="Arial"/>
        <family val="2"/>
      </rPr>
      <t xml:space="preserve">, </t>
    </r>
    <r>
      <rPr>
        <b/>
        <u/>
        <sz val="8"/>
        <rFont val="Arial"/>
        <family val="2"/>
      </rPr>
      <t>GASBS No. 94,</t>
    </r>
    <r>
      <rPr>
        <sz val="8"/>
        <rFont val="Arial"/>
        <family val="2"/>
      </rPr>
      <t xml:space="preserve"> or 
</t>
    </r>
    <r>
      <rPr>
        <b/>
        <u/>
        <sz val="8"/>
        <rFont val="Arial"/>
        <family val="2"/>
      </rPr>
      <t>GASBS No. 96</t>
    </r>
    <r>
      <rPr>
        <sz val="8"/>
        <rFont val="Arial"/>
        <family val="2"/>
      </rPr>
      <t>?</t>
    </r>
  </si>
  <si>
    <r>
      <t xml:space="preserve">been properly reported on the FST in accordance with </t>
    </r>
    <r>
      <rPr>
        <b/>
        <u/>
        <sz val="8"/>
        <rFont val="Arial"/>
        <family val="2"/>
      </rPr>
      <t>GASBS No. 42,</t>
    </r>
    <r>
      <rPr>
        <b/>
        <sz val="8"/>
        <rFont val="Arial"/>
        <family val="2"/>
      </rPr>
      <t xml:space="preserve"> </t>
    </r>
    <r>
      <rPr>
        <b/>
        <u/>
        <sz val="8"/>
        <rFont val="Arial"/>
        <family val="2"/>
      </rPr>
      <t>GASBS No. 87,</t>
    </r>
    <r>
      <rPr>
        <b/>
        <sz val="8"/>
        <rFont val="Arial"/>
        <family val="2"/>
      </rPr>
      <t xml:space="preserve"> </t>
    </r>
    <r>
      <rPr>
        <b/>
        <u/>
        <sz val="8"/>
        <rFont val="Arial"/>
        <family val="2"/>
      </rPr>
      <t>GASBS No. 94</t>
    </r>
    <r>
      <rPr>
        <b/>
        <sz val="8"/>
        <rFont val="Arial"/>
        <family val="2"/>
      </rPr>
      <t xml:space="preserve">  or </t>
    </r>
    <r>
      <rPr>
        <b/>
        <u/>
        <sz val="8"/>
        <rFont val="Arial"/>
        <family val="2"/>
      </rPr>
      <t xml:space="preserve">
GASBS No. 96</t>
    </r>
    <r>
      <rPr>
        <sz val="8"/>
        <rFont val="Arial"/>
        <family val="2"/>
      </rPr>
      <t>?</t>
    </r>
  </si>
  <si>
    <r>
      <t>Long-term Subscription-based Information Technology Arrangements Liabilities (</t>
    </r>
    <r>
      <rPr>
        <b/>
        <u/>
        <sz val="9"/>
        <rFont val="Arial"/>
        <family val="2"/>
      </rPr>
      <t>GASBS No. 96</t>
    </r>
    <r>
      <rPr>
        <sz val="9"/>
        <rFont val="Arial"/>
        <family val="2"/>
      </rPr>
      <t>)</t>
    </r>
  </si>
  <si>
    <r>
      <t xml:space="preserve">Institutions that use FAACS and LAS Plus must ensure that installment purchases are </t>
    </r>
    <r>
      <rPr>
        <b/>
        <sz val="9"/>
        <color indexed="8"/>
        <rFont val="Arial"/>
        <family val="2"/>
      </rPr>
      <t>not</t>
    </r>
    <r>
      <rPr>
        <sz val="9"/>
        <color indexed="8"/>
        <rFont val="Arial"/>
        <family val="2"/>
      </rPr>
      <t xml:space="preserve"> included in LAS Plus and </t>
    </r>
  </si>
  <si>
    <r>
      <t xml:space="preserve">Part 12)  </t>
    </r>
    <r>
      <rPr>
        <b/>
        <sz val="9"/>
        <rFont val="Arial"/>
        <family val="2"/>
      </rPr>
      <t>Elimination Entries to Schedule of Bonds Payable (Institutional debt issued by the Institution) -</t>
    </r>
    <r>
      <rPr>
        <sz val="9"/>
        <rFont val="Arial"/>
        <family val="2"/>
      </rPr>
      <t xml:space="preserve"> Provide the elimination entries that are needed to the footnote disclosure reported in Part 6 that are recorded on the Elimination Entries to FST tab for the HEI amounts.</t>
    </r>
  </si>
  <si>
    <t xml:space="preserve">Note:  The above information is linked to the FST tab.  If any of the information is incorrect, key in correct information.
Note regarding Parts 2 &amp; 3:  If the Institution uses LAS Plus for leases, the capitalization threshold is $50,000 or greater.
Note regarding Parts 4 &amp; 5:  If the Institution uses LAS Plus for subscription-based information technology arrangements, the capitalization threshold is $5,000 or greater.
</t>
  </si>
  <si>
    <t>Net Position - Restricted for Expendable - HEI</t>
  </si>
  <si>
    <r>
      <t xml:space="preserve">19) </t>
    </r>
    <r>
      <rPr>
        <b/>
        <sz val="9"/>
        <rFont val="Arial"/>
        <family val="2"/>
      </rPr>
      <t xml:space="preserve">Leases </t>
    </r>
    <r>
      <rPr>
        <sz val="9"/>
        <rFont val="Arial"/>
        <family val="2"/>
      </rPr>
      <t>- Amounts associated with lease transactions (</t>
    </r>
    <r>
      <rPr>
        <b/>
        <u/>
        <sz val="9"/>
        <rFont val="Arial"/>
        <family val="2"/>
      </rPr>
      <t>GASBS No. 87</t>
    </r>
    <r>
      <rPr>
        <sz val="9"/>
        <rFont val="Arial"/>
        <family val="2"/>
      </rPr>
      <t>)</t>
    </r>
  </si>
  <si>
    <r>
      <t xml:space="preserve">17) </t>
    </r>
    <r>
      <rPr>
        <b/>
        <sz val="9"/>
        <rFont val="Arial"/>
        <family val="2"/>
      </rPr>
      <t xml:space="preserve">Leases </t>
    </r>
    <r>
      <rPr>
        <sz val="9"/>
        <rFont val="Arial"/>
        <family val="2"/>
      </rPr>
      <t>- Amounts associated with lease transactions (</t>
    </r>
    <r>
      <rPr>
        <b/>
        <u/>
        <sz val="9"/>
        <rFont val="Arial"/>
        <family val="2"/>
      </rPr>
      <t>GASBS No. 87</t>
    </r>
    <r>
      <rPr>
        <sz val="9"/>
        <rFont val="Arial"/>
        <family val="2"/>
      </rPr>
      <t>)</t>
    </r>
  </si>
  <si>
    <r>
      <t xml:space="preserve">Part 17)  </t>
    </r>
    <r>
      <rPr>
        <b/>
        <u/>
        <sz val="9"/>
        <rFont val="Arial"/>
        <family val="2"/>
      </rPr>
      <t>GASBS No. 70</t>
    </r>
    <r>
      <rPr>
        <i/>
        <sz val="9"/>
        <rFont val="Arial"/>
        <family val="2"/>
      </rPr>
      <t xml:space="preserve">, Accounting and Financial Reporting for Nonexchange Financial Guarantees
</t>
    </r>
    <r>
      <rPr>
        <sz val="9"/>
        <rFont val="Arial"/>
        <family val="2"/>
      </rPr>
      <t xml:space="preserve">
Note:  </t>
    </r>
    <r>
      <rPr>
        <b/>
        <u/>
        <sz val="9"/>
        <rFont val="Arial"/>
        <family val="2"/>
      </rPr>
      <t>GASBS No. 91</t>
    </r>
    <r>
      <rPr>
        <sz val="9"/>
        <rFont val="Arial"/>
        <family val="2"/>
      </rPr>
      <t xml:space="preserve">, </t>
    </r>
    <r>
      <rPr>
        <i/>
        <sz val="9"/>
        <rFont val="Arial"/>
        <family val="2"/>
      </rPr>
      <t>Conduit Debt Obligations</t>
    </r>
    <r>
      <rPr>
        <sz val="9"/>
        <rFont val="Arial"/>
        <family val="2"/>
      </rPr>
      <t xml:space="preserve">, amends </t>
    </r>
    <r>
      <rPr>
        <b/>
        <u/>
        <sz val="9"/>
        <rFont val="Arial"/>
        <family val="2"/>
      </rPr>
      <t>GASBS No. 70</t>
    </r>
    <r>
      <rPr>
        <sz val="9"/>
        <rFont val="Arial"/>
        <family val="2"/>
      </rPr>
      <t xml:space="preserve">.  The questions below are for nonexchange financial guarantees that are not addressed by </t>
    </r>
    <r>
      <rPr>
        <b/>
        <u/>
        <sz val="9"/>
        <rFont val="Arial"/>
        <family val="2"/>
      </rPr>
      <t>GASBS No. 91</t>
    </r>
    <r>
      <rPr>
        <sz val="9"/>
        <rFont val="Arial"/>
        <family val="2"/>
      </rPr>
      <t xml:space="preserve">. </t>
    </r>
    <r>
      <rPr>
        <b/>
        <sz val="9"/>
        <rFont val="Arial"/>
        <family val="2"/>
      </rPr>
      <t xml:space="preserve">
</t>
    </r>
  </si>
  <si>
    <r>
      <t xml:space="preserve">Part 23)  </t>
    </r>
    <r>
      <rPr>
        <b/>
        <u/>
        <sz val="9"/>
        <rFont val="Arial"/>
        <family val="2"/>
      </rPr>
      <t>GASBS No. 91</t>
    </r>
    <r>
      <rPr>
        <sz val="9"/>
        <rFont val="Arial"/>
        <family val="2"/>
      </rPr>
      <t xml:space="preserve">, </t>
    </r>
    <r>
      <rPr>
        <i/>
        <sz val="9"/>
        <rFont val="Arial"/>
        <family val="2"/>
      </rPr>
      <t>Conduit Debt</t>
    </r>
    <r>
      <rPr>
        <b/>
        <sz val="9"/>
        <rFont val="Arial"/>
        <family val="2"/>
      </rPr>
      <t xml:space="preserve"> </t>
    </r>
    <r>
      <rPr>
        <i/>
        <sz val="9"/>
        <rFont val="Arial"/>
        <family val="2"/>
      </rPr>
      <t>Obligations</t>
    </r>
  </si>
  <si>
    <t>Lease Receivables (FASB Standards)</t>
  </si>
  <si>
    <r>
      <rPr>
        <b/>
        <sz val="10"/>
        <rFont val="Arial"/>
        <family val="2"/>
      </rPr>
      <t>FASB Lease Requirement</t>
    </r>
    <r>
      <rPr>
        <sz val="10"/>
        <rFont val="Arial"/>
        <family val="2"/>
      </rPr>
      <t xml:space="preserve">s:   If a foundation is the lessee, record Operating Lease Liabilities and Finance Lease Liabilities on the Combining FST's Long-Term Liabilities-Other-due within one year for the current portion and the Long-Term Liabilities-Other-due in More than One Year for the noncurrent portion.   Also, report the operating lease liabilities separate from the finance lease liabilities on the TAB F5 Part 3 below.  Report the Finance Lease Right-of-Use Assets and the Operating Lease Right-of-Use-Assets on the applicable Combining FST's Capital Asset and/or Other Assets line items.   If reported on the "Other Assets" line item, report separately on the TAB F7 Part 5a.  DOA may request additional information in a separate communication. </t>
    </r>
  </si>
  <si>
    <r>
      <t xml:space="preserve">Other non-right-to-use capital assets are depreciated on the straight-line basis over their useful lives. Capital assets are stated at historical cost, or in some instances, estimated historical cost with exceptions noted below regarding </t>
    </r>
    <r>
      <rPr>
        <b/>
        <u/>
        <sz val="8"/>
        <rFont val="Arial"/>
        <family val="2"/>
      </rPr>
      <t>GASBS No. 48</t>
    </r>
    <r>
      <rPr>
        <sz val="8"/>
        <rFont val="Arial"/>
        <family val="2"/>
      </rPr>
      <t xml:space="preserve">.  Donated capital assets received prior to fiscal year 2016 are stated at fair market value at the time of donation. Pursuant to </t>
    </r>
    <r>
      <rPr>
        <b/>
        <u/>
        <sz val="8"/>
        <rFont val="Arial"/>
        <family val="2"/>
      </rPr>
      <t>GASBS No. 72</t>
    </r>
    <r>
      <rPr>
        <sz val="8"/>
        <rFont val="Arial"/>
        <family val="2"/>
      </rPr>
      <t xml:space="preserve">, </t>
    </r>
    <r>
      <rPr>
        <i/>
        <sz val="8"/>
        <rFont val="Arial"/>
        <family val="2"/>
      </rPr>
      <t>Fair Value Measurement and Application,</t>
    </r>
    <r>
      <rPr>
        <sz val="8"/>
        <rFont val="Arial"/>
        <family val="2"/>
      </rPr>
      <t xml:space="preserve"> donated capital assets, donated works of art, historical treasures and similar assets, and capital assets received in a service concession arrangement are recorded at acquisition value except as noted below regarding </t>
    </r>
    <r>
      <rPr>
        <b/>
        <u/>
        <sz val="8"/>
        <rFont val="Arial"/>
        <family val="2"/>
      </rPr>
      <t>GASBS No. 48</t>
    </r>
    <r>
      <rPr>
        <sz val="8"/>
        <rFont val="Arial"/>
        <family val="2"/>
      </rPr>
      <t xml:space="preserve">.  Pursuant to </t>
    </r>
    <r>
      <rPr>
        <b/>
        <u/>
        <sz val="8"/>
        <rFont val="Arial"/>
        <family val="2"/>
      </rPr>
      <t>GASBS No. 81</t>
    </r>
    <r>
      <rPr>
        <sz val="8"/>
        <rFont val="Arial"/>
        <family val="2"/>
      </rPr>
      <t xml:space="preserve">, if the real estate asset for a life-interest in real estate is recognized as a capital asset rather than an investment, it should be measured at acquisition value.  
Other Right-to-Use lease capital assets subject to the requirements of </t>
    </r>
    <r>
      <rPr>
        <b/>
        <u/>
        <sz val="8"/>
        <rFont val="Arial"/>
        <family val="2"/>
      </rPr>
      <t>GASBS No. 87</t>
    </r>
    <r>
      <rPr>
        <sz val="8"/>
        <rFont val="Arial"/>
        <family val="2"/>
      </rPr>
      <t xml:space="preserve"> are 1) recorded when the present value is equal to or greater than the institution's capitalization policy,  2) the contract term is greater than 12 months, and 3) amortized based on the lease term or the asset useful life, whichever is shorter.  
Other Right-to-Use Intangible Underlying PPP assets are 1) subject to the requirements of </t>
    </r>
    <r>
      <rPr>
        <b/>
        <u/>
        <sz val="8"/>
        <rFont val="Arial"/>
        <family val="2"/>
      </rPr>
      <t>GASBS No. 94</t>
    </r>
    <r>
      <rPr>
        <sz val="8"/>
        <rFont val="Arial"/>
        <family val="2"/>
      </rPr>
      <t xml:space="preserve"> when the institution is considered the operator in a public-private and/or public-public partnership (PPP) arrangement,  and  2) amortized over the shorter of the PPP term or useful life of the underlying PPP asset.
Other Right-to-Use Subscription based assets subject to the requirements of</t>
    </r>
    <r>
      <rPr>
        <b/>
        <u/>
        <sz val="8"/>
        <rFont val="Arial"/>
        <family val="2"/>
      </rPr>
      <t xml:space="preserve"> GASBS No. 96</t>
    </r>
    <r>
      <rPr>
        <sz val="8"/>
        <rFont val="Arial"/>
        <family val="2"/>
      </rPr>
      <t xml:space="preserve"> are 1) recorded when the present value is equal to or greater than the institution's capitalization policy, 2) the contract term is greater than 12 months, and 3) amortized based on the subscription term or the asset useful life, whichever is shorter.   </t>
    </r>
  </si>
  <si>
    <t>Increase (decrease) Upon Hedge Termination</t>
  </si>
  <si>
    <t xml:space="preserve">  Increase (decrease) Upon Hedge Termination</t>
  </si>
  <si>
    <t xml:space="preserve">HEI Total Year-End June 30, 2023: </t>
  </si>
  <si>
    <t>Restricted Receivables, Net</t>
  </si>
  <si>
    <r>
      <t xml:space="preserve">Financed Purchase Obligation </t>
    </r>
    <r>
      <rPr>
        <b/>
        <u/>
        <sz val="9"/>
        <rFont val="Arial"/>
        <family val="2"/>
      </rPr>
      <t>(GASBS Nos.87 &amp; 94)</t>
    </r>
  </si>
  <si>
    <r>
      <t xml:space="preserve">Long-term Operator Installment Payment Liabilities </t>
    </r>
    <r>
      <rPr>
        <b/>
        <u/>
        <sz val="9"/>
        <rFont val="Arial"/>
        <family val="2"/>
      </rPr>
      <t>(GASBS No. 94)</t>
    </r>
  </si>
  <si>
    <t xml:space="preserve">Foundation Year End Totals -  2023: </t>
  </si>
  <si>
    <t>HEI - Capital Asset Balances as of June 30, 2023 - Per  prior year's Att HE-10 TAB 3 Part 1 as adjusted for correcting ajes  (excludes corrections to eliminations)</t>
  </si>
  <si>
    <r>
      <t xml:space="preserve">Right-to-Use Intangible Underlying PPP Assets </t>
    </r>
    <r>
      <rPr>
        <b/>
        <u/>
        <sz val="8"/>
        <rFont val="Arial"/>
        <family val="2"/>
      </rPr>
      <t>(GASBS No.94)</t>
    </r>
  </si>
  <si>
    <r>
      <t xml:space="preserve">Right-to-Use Intangible Underlying PPP Assets
</t>
    </r>
    <r>
      <rPr>
        <b/>
        <u/>
        <sz val="8"/>
        <rFont val="Arial"/>
        <family val="2"/>
      </rPr>
      <t xml:space="preserve"> (GASBS No.94)</t>
    </r>
  </si>
  <si>
    <t>Total Other Capital Assets, Net</t>
  </si>
  <si>
    <r>
      <t xml:space="preserve">Long-term Operator Installment Payment Liabilities </t>
    </r>
    <r>
      <rPr>
        <b/>
        <u/>
        <sz val="9"/>
        <rFont val="Arial"/>
        <family val="2"/>
      </rPr>
      <t>(GASBS No.94)</t>
    </r>
  </si>
  <si>
    <t xml:space="preserve">NO CHANGES WERE MADE TO THIS TAB FOR FY 24 EXCEPT TO REMOVE WORDING </t>
  </si>
  <si>
    <t>REGARDING THE CHANGES MADE FOR FY23.</t>
  </si>
  <si>
    <t>HEI Total Year-End                    June 30, 2024</t>
  </si>
  <si>
    <t>Elimination Entries to HEI                   Total Year-End              June 30, 2024</t>
  </si>
  <si>
    <t xml:space="preserve">Higher Education Institution - FY 2024 Fluctuation Analysis Explanations </t>
  </si>
  <si>
    <t xml:space="preserve">Foundations - FY 2024 Fluctuation Analysis Explanations </t>
  </si>
  <si>
    <t xml:space="preserve">Is the total amount of future principal payments per the 2024 Master Equipment Leasing Program (MELP) listing (available on DOA's website) included in the installment purchase obligations FST line items?  If no, explain below.
</t>
  </si>
  <si>
    <t>For the Year Ended June 30, 2024</t>
  </si>
  <si>
    <t>Total as of June 30, 2024</t>
  </si>
  <si>
    <t>Elimination Entries - Total as of June 30, 2024</t>
  </si>
  <si>
    <t>July 1, 2023</t>
  </si>
  <si>
    <t>Note c:  If insurance recoveries are recognized in fiscal year 2024 for impaired capital assets that took place in prior years, record</t>
  </si>
  <si>
    <t>A) Did the institution recognize any insurance recoveries during fiscal year 2024 not already reported in Part 3.1 D (i.e., capital asset impairments occurred in prior years and/or for other reasons such as theft, embezzlement of cash, etc.) and do not represent insurance recoveries for pollution remediation obligations reported on TAB 7 Part 14 (see Note A)? Yes or No</t>
  </si>
  <si>
    <t>June 30, 2024</t>
  </si>
  <si>
    <t>2030-2034</t>
  </si>
  <si>
    <t>2035-2039</t>
  </si>
  <si>
    <t>2040-2044</t>
  </si>
  <si>
    <t>2045-2049</t>
  </si>
  <si>
    <t>2050-2054</t>
  </si>
  <si>
    <t>2055-2059</t>
  </si>
  <si>
    <t>2060-2064</t>
  </si>
  <si>
    <t>2065-2069</t>
  </si>
  <si>
    <t>2070-2074</t>
  </si>
  <si>
    <t>Provide the Balance June 30, 2024, amounts by the following categories:</t>
  </si>
  <si>
    <t>Balance             June 30, 2024</t>
  </si>
  <si>
    <t>Check figures - Balance June 30, 2024</t>
  </si>
  <si>
    <t>Variance check figures - Balance June 30, 2024</t>
  </si>
  <si>
    <t xml:space="preserve">purchases.  (Note:  The MELP listing for FY 2024 will be available on DOA's website in mid-July.  Click on the "Financial Statement Directives" link.  </t>
  </si>
  <si>
    <t xml:space="preserve"> Interest rate in effect as of June 30, 2024</t>
  </si>
  <si>
    <t>Balance June 30, 2024</t>
  </si>
  <si>
    <t>Balance           July 1, 2023</t>
  </si>
  <si>
    <t>Balance           July 1, 2023  (linked)</t>
  </si>
  <si>
    <t>Balance
 July 1, 2023 (negative $)</t>
  </si>
  <si>
    <t>Balance
July 1, 2023 (negative $)</t>
  </si>
  <si>
    <t>$ Commitments as of June 30, 2024</t>
  </si>
  <si>
    <r>
      <t xml:space="preserve">Part 1) </t>
    </r>
    <r>
      <rPr>
        <sz val="9"/>
        <rFont val="Arial"/>
        <family val="2"/>
      </rPr>
      <t xml:space="preserve"> Does the institution have any construction or other contractual commitments as of June 30, 2024, excluding any significant intrafund commitments with blended or discrete foundation(s)?       
If yes, provide a description and amounts of any construction or other contractual commitments as of June 30, 2024, and exclude significant intrafund amounts with blended or discrete foundation(s).
Note:  Please do not include any amounts that are reported on the FST tab.</t>
    </r>
  </si>
  <si>
    <t>After June 30, but before financial statements are issued, information may become available indicating that an asset was impaired or a material liability was incurred.  Adjustments to financial statements to reflect this information are required for amounts relating to conditions existing as of June 30, 2024.  An example of an adjustment is a loss on a trade receivable, which is confirmed by the bankruptcy of a customer.  Disclosure is necessary for events that do not relate to conditions at the balance sheet date, but make the financial statements misleading.  This disclosure should indicate the nature of the loss or loss contingency and give an estimate of the amount, or range of loss or possible loss, or state that such an estimate cannot be made.  An example of a subsequent event requiring disclosure would be the issuance of long-term debt after the balance sheet date but before the statements were issued.
Note:  If a subsequent event comes to your attention after submitting this attachment, it must be reported on the Attachment HE-14, Subsequent Events, due November 10.</t>
  </si>
  <si>
    <t>b)  If yes to a), provide the net appreciation on investments of donor-restricted endowments in FY 2024 that are available for authorization for expenditure by the governing board.  Also, provide the net position line items where the net appreciation is reported on the Financial Statement Template - Statement of Net Position.</t>
  </si>
  <si>
    <r>
      <rPr>
        <b/>
        <sz val="9"/>
        <rFont val="Arial"/>
        <family val="2"/>
      </rPr>
      <t>16a)</t>
    </r>
    <r>
      <rPr>
        <sz val="9"/>
        <rFont val="Arial"/>
        <family val="2"/>
      </rPr>
      <t xml:space="preserve"> Deferred Outflows of Resources for FY 2024:  Does the HEI have any of the following deferred outflows of resources to report as of June 30, 2024?  If yes, provide amounts.   If total amount is different from the amount reported on the FST, either make corrections so amounts will agree or contact DOA to discuss because amounts should agree.</t>
    </r>
  </si>
  <si>
    <r>
      <rPr>
        <b/>
        <sz val="9"/>
        <rFont val="Arial"/>
        <family val="2"/>
      </rPr>
      <t>16b)</t>
    </r>
    <r>
      <rPr>
        <sz val="9"/>
        <rFont val="Arial"/>
        <family val="2"/>
      </rPr>
      <t xml:space="preserve"> Deferred Inflows of Resources for FY 2024:  Does the HEI have any of the following deferred inflows of resources to report as of June 30, 2024?  If yes, provide the amounts below.  If total amount is different from the amount reported on the FST, either make corrections so amounts will agree or contact DOA to discuss because amounts should agree.
</t>
    </r>
  </si>
  <si>
    <r>
      <t>16c)</t>
    </r>
    <r>
      <rPr>
        <b/>
        <sz val="9"/>
        <rFont val="Arial"/>
        <family val="2"/>
      </rPr>
      <t xml:space="preserve"> Significant Effect on Net Position for FY 2024:</t>
    </r>
    <r>
      <rPr>
        <sz val="9"/>
        <rFont val="Arial"/>
        <family val="2"/>
      </rPr>
      <t xml:space="preserve">  If the answer to any items listed in Parts 16a and/or 16b is yes, is the difference between the deferred outflows of resources or the deferred inflows of resources and the balance of the related asset or liability significant?  If yes, provide an explanation of the effect on net position (e.g., net investment in capital assets, restricted net position, and/or unrestricted net position) as required by </t>
    </r>
    <r>
      <rPr>
        <b/>
        <u/>
        <sz val="9"/>
        <rFont val="Arial"/>
        <family val="2"/>
      </rPr>
      <t>GASBS No. 63</t>
    </r>
    <r>
      <rPr>
        <sz val="9"/>
        <rFont val="Arial"/>
        <family val="2"/>
      </rPr>
      <t xml:space="preserve"> paragraph 14. 
</t>
    </r>
  </si>
  <si>
    <t xml:space="preserve"> If yes, provide a description of the nonexchange financial guarantees extended to others including the type of obligations guaranteed, legal authority &amp; limits for extending the guarantees, relationship to the legally separate entities or individual(s) that issued the obligations (issuers) that are guaranteed by the HEI,  length of time of the guarantees, arrangements for recovering payments from the issuers, and total amount of all guarantees extended that are outstanding as of June 30, 2024.   
</t>
  </si>
  <si>
    <r>
      <rPr>
        <b/>
        <sz val="9"/>
        <rFont val="Arial"/>
        <family val="2"/>
      </rPr>
      <t>17b)   Nonexchange Financial Guarantees</t>
    </r>
    <r>
      <rPr>
        <sz val="9"/>
        <rFont val="Arial"/>
        <family val="2"/>
      </rPr>
      <t xml:space="preserve"> - HEI guarantees obligations of others &amp; HEI makes or likely to make payments: If yes to 17a, do qualitative factors and historical data, if any, indicate it is more likely than not (likelihood more than 50 percent) that the HEI (guarantor) will be required to make a payment related to the nonexchange financial guarantees it extended for the liabilities of a legally separate entity or individual (issuer) and/or has the HEI made payments during FY 2024 on the nonexchange financial guarantees? 
Note:  If the answer to Part 17a is "No," the answer to Part 17b should be "N/A."
</t>
    </r>
  </si>
  <si>
    <t xml:space="preserve"> If yes, provide a description of the nonexchange financial guarantees including the type of HEI obligations guaranteed, name of the legally separate entity or individual (guarantor) that provided the guarantee to the HEI and HEI's relationship to the guarantor,  length of time of the guarantees, and total amount of all guarantees received that are outstanding  as of June 30, 2024. 
</t>
  </si>
  <si>
    <r>
      <rPr>
        <b/>
        <sz val="9"/>
        <rFont val="Arial"/>
        <family val="2"/>
      </rPr>
      <t>17d)  Nonexchange Financial Guarantees</t>
    </r>
    <r>
      <rPr>
        <sz val="9"/>
        <rFont val="Arial"/>
        <family val="2"/>
      </rPr>
      <t xml:space="preserve"> -  Others guarantee obligations of HEI &amp; Others required to make payments:  If yes to 17c, has the legally separate entity or individual (guarantor) that provided the nonexchange financial guarantee to the HEI (issuer) been required to make any payments during FY 2024? 
Note:  If the answer to Part 17c is "No," the answer to Part 17d should be "N/A."
</t>
    </r>
  </si>
  <si>
    <t xml:space="preserve"> If yes, provide a description of the nonexchange financial guarantee for which payment by the legally separate entity or individual (guarantor) on the HEI's obligation was made during fiscal year 2024, name of the guarantor and the amount of FY 2024 payments made by the guarantor, cumulative payments made by guarantor as of June 30, 2024, description of requirements for the HEI to repay the guarantor, and the outstanding amounts as of June 30, 2024, the HEI is required to repay the guarantor.</t>
  </si>
  <si>
    <t xml:space="preserve">If yes, provide the following for all items listed below that are reported on the financial statement template using the fair value hierarchy (Level 1, Level 2, and Level 3) that will not be reported on Attachment HE-11 and/or Supplemental Item 7b:  
Note*:  This amount should be the fair value amount reported on the FST tab in the HEI Total Year-End June 30, 2024, column net of elimination entries reported on the Elimination Entries to FST tab in the Elimination Entries to HEI Total Year-End June 30, 2024, column.
</t>
  </si>
  <si>
    <r>
      <rPr>
        <b/>
        <sz val="9"/>
        <rFont val="Arial"/>
        <family val="2"/>
      </rPr>
      <t>Part 18c) Net Asset Value</t>
    </r>
    <r>
      <rPr>
        <sz val="9"/>
        <rFont val="Arial"/>
        <family val="2"/>
      </rPr>
      <t xml:space="preserve">: Does the HEI have items that are permitted to be reported and are reported at net asset value (NAV) per share (or its equivalent) in accordance with </t>
    </r>
    <r>
      <rPr>
        <b/>
        <u/>
        <sz val="9"/>
        <rFont val="Arial"/>
        <family val="2"/>
      </rPr>
      <t>GASBS No. 72</t>
    </r>
    <r>
      <rPr>
        <sz val="9"/>
        <rFont val="Arial"/>
        <family val="2"/>
      </rPr>
      <t xml:space="preserve"> for FY 2024 that will </t>
    </r>
    <r>
      <rPr>
        <b/>
        <u/>
        <sz val="9"/>
        <rFont val="Arial"/>
        <family val="2"/>
      </rPr>
      <t>not</t>
    </r>
    <r>
      <rPr>
        <sz val="9"/>
        <rFont val="Arial"/>
        <family val="2"/>
      </rPr>
      <t xml:space="preserve"> be reported on the Attachment HE-11, Schedule of Cash, Cash Equivalents, and Investments as of June 30 and/or Supplemental Item 7b, Derivative Instruments (HEI Only)?
Note: These are items that require additional disclosures in accordance with </t>
    </r>
    <r>
      <rPr>
        <b/>
        <u/>
        <sz val="9"/>
        <rFont val="Arial"/>
        <family val="2"/>
      </rPr>
      <t>GASBS No. 72</t>
    </r>
    <r>
      <rPr>
        <sz val="9"/>
        <rFont val="Arial"/>
        <family val="2"/>
      </rPr>
      <t xml:space="preserve"> paragraph 82.</t>
    </r>
  </si>
  <si>
    <t xml:space="preserve">If yes, provide the following for all items that are reported on the financial statement template using the net asset value (NAV) per share (or its equivalent) that will not be reported on the Attachment HE-11 and/or Supplemental Item 7b:
Note**:  This amount should be the net asset value (or its equivalent) amount reported on the FST tab in the HEI Total Year-End June 30, 2024, column net of elimination entries reported on the Elimination Entries to FST tab in the Elimination Entries to HEI Total Year-End June 30, 2024, column.
</t>
  </si>
  <si>
    <r>
      <t xml:space="preserve">18d) Recurring and Nonrecurring Fair Value Measurements: </t>
    </r>
    <r>
      <rPr>
        <sz val="9"/>
        <rFont val="Arial"/>
        <family val="2"/>
      </rPr>
      <t xml:space="preserve">If yes to 18a and/or 18c, were items measured at fair value on a recurring basis in accordance with </t>
    </r>
    <r>
      <rPr>
        <b/>
        <u/>
        <sz val="9"/>
        <rFont val="Arial"/>
        <family val="2"/>
      </rPr>
      <t>GASBS No. 72</t>
    </r>
    <r>
      <rPr>
        <sz val="9"/>
        <rFont val="Arial"/>
        <family val="2"/>
      </rPr>
      <t xml:space="preserve"> for FY 2024?</t>
    </r>
  </si>
  <si>
    <t xml:space="preserve">20)  Does the HEI have any asset retirement obligations that must be reported in accordance with this statement as of June 30, 2024?  If yes, provide required note disclosures below or in a separate document along with the Attachment HE-10 submission.
</t>
  </si>
  <si>
    <t xml:space="preserve">Does the HEI have any of the following lease arrangements that must be reported in accordance with this statement as of June 30, 2024?
Sublease transactions
Sale-leaseback transactions
Lease-leaseback transactions
If yes, provide the description, line item, and necessary disclosures. </t>
  </si>
  <si>
    <r>
      <rPr>
        <b/>
        <sz val="9"/>
        <rFont val="Arial"/>
        <family val="2"/>
      </rPr>
      <t>22a) Unused Lines of Credit:</t>
    </r>
    <r>
      <rPr>
        <sz val="9"/>
        <rFont val="Arial"/>
        <family val="2"/>
      </rPr>
      <t xml:space="preserve">  Does the HEI have unused lines of credit external to the Commonwealth as of June 30, 2024?
Note: Do not include lines of credit with the Department of Treasury.</t>
    </r>
  </si>
  <si>
    <r>
      <rPr>
        <b/>
        <sz val="9"/>
        <rFont val="Arial"/>
        <family val="2"/>
      </rPr>
      <t>22b) Assets Pledged as Collateral for Debt</t>
    </r>
    <r>
      <rPr>
        <sz val="9"/>
        <rFont val="Arial"/>
        <family val="2"/>
      </rPr>
      <t xml:space="preserve">:  Does the HEI have assets pledged as collateral for debt as of June 30, 2024? </t>
    </r>
  </si>
  <si>
    <t xml:space="preserve"> If yes, provide the FST debt line item, FST debt line item amount (net of eliminations), and description of assets pledged as collateral for the debt as of June 30, 2024:</t>
  </si>
  <si>
    <t>Provide the Ending Balance June 30, 2024, amounts by the following categories:</t>
  </si>
  <si>
    <t>Ending Balance 6/30/2024</t>
  </si>
  <si>
    <t>Part 1a)  Does the institution have short-term debt activity during fiscal year 2024 and/or as of June 30, 2024, with parties external to the Commonwealth  (e.g., bond anticipation notes payable, use of lines of credit, etc.)?   Note:  This includes all short-term debt activity, even if no short-term debt is outstanding at year-end.</t>
  </si>
  <si>
    <r>
      <t xml:space="preserve">Part 1) Receivables, Net - Footnote disclosure:  </t>
    </r>
    <r>
      <rPr>
        <sz val="9"/>
        <rFont val="Arial"/>
        <family val="2"/>
      </rPr>
      <t xml:space="preserve">Provide the footnote disclosure for the receivables reported on the FST for the HEI that do </t>
    </r>
    <r>
      <rPr>
        <b/>
        <u/>
        <sz val="9"/>
        <rFont val="Arial"/>
        <family val="2"/>
      </rPr>
      <t>not</t>
    </r>
    <r>
      <rPr>
        <sz val="9"/>
        <rFont val="Arial"/>
        <family val="2"/>
      </rPr>
      <t xml:space="preserve"> meet the restricted receivables criteria for Part 3:</t>
    </r>
  </si>
  <si>
    <t>Net Receivables included in "Total Receivables, Net" to be collected after 6/30/2025</t>
  </si>
  <si>
    <t>Description for Restricted Receivables, Net:</t>
  </si>
  <si>
    <t>Elimination Entries included in "Total Elimination Entries to Receivables, Net" to be collected after 6/30/2025 (enter as a negative)</t>
  </si>
  <si>
    <r>
      <t xml:space="preserve">Part 4)  </t>
    </r>
    <r>
      <rPr>
        <b/>
        <sz val="9"/>
        <rFont val="Arial"/>
        <family val="2"/>
      </rPr>
      <t xml:space="preserve">Elimination Entries to Restricted Receivables, Net- </t>
    </r>
    <r>
      <rPr>
        <sz val="9"/>
        <rFont val="Arial"/>
        <family val="2"/>
      </rPr>
      <t>Provide the elimination entries that are needed to the footnote disclosure reported in Part 3 that are recorded on the Elimination Entries to FST tab for the HEI amounts.</t>
    </r>
  </si>
  <si>
    <t>Gross Restricted Receivable Amounts:</t>
  </si>
  <si>
    <t>Restricted Accounts Receivable</t>
  </si>
  <si>
    <t xml:space="preserve">Restricted Loans/Mortgage Receivable </t>
  </si>
  <si>
    <t xml:space="preserve">Restricted Interest Receivable </t>
  </si>
  <si>
    <t>Restricted Other Receivables (Provide descriptions):</t>
  </si>
  <si>
    <r>
      <t>Restricted Lease Receivables (</t>
    </r>
    <r>
      <rPr>
        <b/>
        <u/>
        <sz val="9"/>
        <rFont val="Arial"/>
        <family val="2"/>
      </rPr>
      <t>GASBS No. 87</t>
    </r>
    <r>
      <rPr>
        <sz val="9"/>
        <rFont val="Arial"/>
        <family val="2"/>
      </rPr>
      <t>)</t>
    </r>
  </si>
  <si>
    <t xml:space="preserve">       Total Restricted Receivables, Net</t>
  </si>
  <si>
    <t>Net Restricted Receivables included in "Total Restricted Receivables, Net" to be collected after 6/30/2025</t>
  </si>
  <si>
    <t>Restricted Interest Receivable</t>
  </si>
  <si>
    <r>
      <t>Gross Restricted Receivable Amounts</t>
    </r>
    <r>
      <rPr>
        <sz val="9"/>
        <rFont val="Arial"/>
        <family val="2"/>
      </rPr>
      <t xml:space="preserve"> (Enter as a negative amount):</t>
    </r>
  </si>
  <si>
    <t>Total Elimination Entries to Restricted Receivables, Net</t>
  </si>
  <si>
    <t>Elimination Entries included in "Total Elimination Entries to Restricted Receivables, Net" to be collected after 6/30/2025 (enter as a negative)</t>
  </si>
  <si>
    <t xml:space="preserve">      Total Restricted Receivables, Gross</t>
  </si>
  <si>
    <r>
      <t>Part 3</t>
    </r>
    <r>
      <rPr>
        <sz val="10"/>
        <rFont val="Arial"/>
        <family val="2"/>
      </rPr>
      <t xml:space="preserve">)  For </t>
    </r>
    <r>
      <rPr>
        <b/>
        <sz val="10"/>
        <rFont val="Arial"/>
        <family val="2"/>
      </rPr>
      <t>Restricted Receivables, Net</t>
    </r>
    <r>
      <rPr>
        <sz val="10"/>
        <rFont val="Arial"/>
        <family val="2"/>
      </rPr>
      <t xml:space="preserve"> reported by the foundations as of year-end, complete the following:</t>
    </r>
  </si>
  <si>
    <t>Restricted Other Receivables (provide descriptions):</t>
  </si>
  <si>
    <t>Restricted Lease Receivables (FASB Standards)</t>
  </si>
  <si>
    <t>Less: Allowance for Restricted Receivables (negative $)</t>
  </si>
  <si>
    <t xml:space="preserve">Note A:  This Total Restricted Receivables, Net must agree to the Restricted Receivables, Net reported on the Combining FST tab.  If not, an "ERROR" message will appear.  Make corrections as deemed necessary.  </t>
  </si>
  <si>
    <t>Note B:  The Elimination Entries to FST total must agree to the elimination entries to the Restricted Receivables, Net line item reported on the Elimination Entries to FST for the foundations.  If not, an "ERROR" message will appear.  Make corrections as deemed necessary.</t>
  </si>
  <si>
    <t>Note C:  This Total after All Elimination Entries must agree to the Restricted Receivables, Net line item reported on the FST in the Foundation(s) column plus the Elimination Entries to FST in the Foundation(s) column.  If not, an "ERROR" message will appear.  Make corrections as deemed necessary.</t>
  </si>
  <si>
    <r>
      <t xml:space="preserve">Part 26) </t>
    </r>
    <r>
      <rPr>
        <b/>
        <u/>
        <sz val="9"/>
        <rFont val="Arial"/>
        <family val="2"/>
      </rPr>
      <t>GASBS No. 100</t>
    </r>
    <r>
      <rPr>
        <b/>
        <sz val="9"/>
        <rFont val="Arial"/>
        <family val="2"/>
      </rPr>
      <t xml:space="preserve">, </t>
    </r>
    <r>
      <rPr>
        <i/>
        <sz val="9"/>
        <rFont val="Arial"/>
        <family val="2"/>
      </rPr>
      <t>Accounting Changes and Error Corrections:</t>
    </r>
  </si>
  <si>
    <r>
      <t xml:space="preserve">If yes for a </t>
    </r>
    <r>
      <rPr>
        <b/>
        <u/>
        <sz val="8"/>
        <rFont val="Arial"/>
        <family val="2"/>
      </rPr>
      <t>GASBS No. 42</t>
    </r>
    <r>
      <rPr>
        <sz val="8"/>
        <rFont val="Arial"/>
        <family val="2"/>
      </rPr>
      <t xml:space="preserve"> impairment, provide the following:  impairment loss, insurance recoveries recognized in fiscal year 2024 included in the net impairment gain/(loss) calculation, and the financial statement template line item that the net gain/(loss)on the impairment is reported on.</t>
    </r>
  </si>
  <si>
    <r>
      <t xml:space="preserve">Long-term Lease Liability 
</t>
    </r>
    <r>
      <rPr>
        <b/>
        <sz val="9"/>
        <rFont val="Arial"/>
        <family val="2"/>
      </rPr>
      <t>(</t>
    </r>
    <r>
      <rPr>
        <b/>
        <u/>
        <sz val="9"/>
        <rFont val="Arial"/>
        <family val="2"/>
      </rPr>
      <t>GASBS No. 87</t>
    </r>
    <r>
      <rPr>
        <b/>
        <sz val="9"/>
        <rFont val="Arial"/>
        <family val="2"/>
      </rPr>
      <t>)</t>
    </r>
  </si>
  <si>
    <r>
      <t xml:space="preserve">12a)  Does the HEI have any voluntary termination benefits and/or involuntary termination benefits as of June 30, 2024, that must be recognized in accordance with this statement (e.g., early-retirement incentives, severance benefits, and other termination benefits)?  Note:  </t>
    </r>
    <r>
      <rPr>
        <b/>
        <u/>
        <sz val="9"/>
        <rFont val="Arial"/>
        <family val="2"/>
      </rPr>
      <t>GASBS No. 47</t>
    </r>
    <r>
      <rPr>
        <sz val="9"/>
        <rFont val="Arial"/>
        <family val="2"/>
      </rPr>
      <t xml:space="preserve"> excludes postemployment benefits (pensions &amp; OPEB), which are part of the compensation that employers offer in exchange for services received or unemployment compensation.</t>
    </r>
  </si>
  <si>
    <r>
      <t xml:space="preserve">15)  Derivative Instruments - Did the HEI have any derivative instrument activity/balances during FY 2024 and/or as of June 30, 2024, as defined in </t>
    </r>
    <r>
      <rPr>
        <b/>
        <u/>
        <sz val="9"/>
        <rFont val="Arial"/>
        <family val="2"/>
      </rPr>
      <t>GASBS No. 53</t>
    </r>
    <r>
      <rPr>
        <sz val="9"/>
        <rFont val="Arial"/>
        <family val="2"/>
      </rPr>
      <t xml:space="preserve">?  
If yes, provide the overall category of the derivative instruments that existed as of June 30, 2024, and/or any other derivative instrument activity during FY 2024. Also, complete the Supplemental item 7b, Derivative Instruments, and submit along with the Attachment HE-10.  </t>
    </r>
  </si>
  <si>
    <t>August 31 or December 31, 2023</t>
  </si>
  <si>
    <t>March 31 or June 30, 2024</t>
  </si>
  <si>
    <t>2030 &amp; Thereafter</t>
  </si>
  <si>
    <r>
      <t xml:space="preserve"> If yes, provide a description of the nonexchange financial guarantees for which payment by the HEI is likely and/or has already been made,  indicate if payments by the HEI  were required to be made during FY 2024 and provide FY 2024 payment amounts, cumulative payments made by HEI  as of June 30, 2024,  nonexchange financial guarantee liability as of June 30, 2024, computed in accordance with </t>
    </r>
    <r>
      <rPr>
        <b/>
        <u/>
        <sz val="9"/>
        <rFont val="Arial"/>
        <family val="2"/>
      </rPr>
      <t>GASBS No. 70</t>
    </r>
    <r>
      <rPr>
        <sz val="9"/>
        <rFont val="Arial"/>
        <family val="2"/>
      </rPr>
      <t xml:space="preserve"> regarding the estimated future outflows expected to be incurred by the HEI as a result of the guarantees that more likely than not will require payment, FST line item this nonexchange financial guarantee liability is reported on, and amounts expected to be recovered from the issuers for payments the HEI made as of June 30, 2024.
</t>
    </r>
  </si>
  <si>
    <r>
      <rPr>
        <b/>
        <sz val="9"/>
        <rFont val="Arial"/>
        <family val="2"/>
      </rPr>
      <t>18a)    Fair Value:</t>
    </r>
    <r>
      <rPr>
        <sz val="9"/>
        <rFont val="Arial"/>
        <family val="2"/>
      </rPr>
      <t xml:space="preserve">  Does the HEI have items that have to be reported at fair value in accordance with </t>
    </r>
    <r>
      <rPr>
        <b/>
        <u/>
        <sz val="9"/>
        <rFont val="Arial"/>
        <family val="2"/>
      </rPr>
      <t>GASBS No. 72</t>
    </r>
    <r>
      <rPr>
        <sz val="9"/>
        <rFont val="Arial"/>
        <family val="2"/>
      </rPr>
      <t xml:space="preserve"> for FY 2024 that will </t>
    </r>
    <r>
      <rPr>
        <b/>
        <u/>
        <sz val="9"/>
        <rFont val="Arial"/>
        <family val="2"/>
      </rPr>
      <t>not</t>
    </r>
    <r>
      <rPr>
        <sz val="9"/>
        <rFont val="Arial"/>
        <family val="2"/>
      </rPr>
      <t xml:space="preserve"> be reported on the Attachment HE-11, Schedule of Cash, Cash Equivalents, and Investments as of June 30 and/or Supplemental Item 7b, Derivative Instruments (HEI Only)?
</t>
    </r>
  </si>
  <si>
    <r>
      <rPr>
        <b/>
        <sz val="9"/>
        <rFont val="Arial"/>
        <family val="2"/>
      </rPr>
      <t>Part 18b) Valuation Technique</t>
    </r>
    <r>
      <rPr>
        <sz val="9"/>
        <rFont val="Arial"/>
        <family val="2"/>
      </rPr>
      <t xml:space="preserve">:  If yes to Part 18a, has there been a change in valuation technique(s) from the previous year for items reported using the fair value hierarchy in accordance with </t>
    </r>
    <r>
      <rPr>
        <b/>
        <u/>
        <sz val="9"/>
        <rFont val="Arial"/>
        <family val="2"/>
      </rPr>
      <t>GASBS No. 72</t>
    </r>
    <r>
      <rPr>
        <sz val="9"/>
        <rFont val="Arial"/>
        <family val="2"/>
      </rPr>
      <t xml:space="preserve"> for FY 2024 in Part 18a above?</t>
    </r>
  </si>
  <si>
    <r>
      <t>Purpose</t>
    </r>
    <r>
      <rPr>
        <sz val="9"/>
        <rFont val="Arial"/>
        <family val="2"/>
      </rPr>
      <t xml:space="preserve">:  This is a tab to help ensure propriety of certain amounts reported in this attachment.   Many of the questions are based on what the DOA analysts look for when reviewing the attachment.  </t>
    </r>
    <r>
      <rPr>
        <b/>
        <sz val="9"/>
        <rFont val="Arial"/>
        <family val="2"/>
      </rPr>
      <t xml:space="preserve">This tab should serve as a preparation aid.  </t>
    </r>
    <r>
      <rPr>
        <sz val="9"/>
        <rFont val="Arial"/>
        <family val="2"/>
      </rPr>
      <t xml:space="preserve"> After all amounts have been recorded in this attachment, this tab must be completed.  Hopefully this will help reduce follow-up communications and adjustments made by DOA regarding this attachment.</t>
    </r>
  </si>
  <si>
    <t>Net Position line item where net appreciation available for expenditure is reported</t>
  </si>
  <si>
    <r>
      <t xml:space="preserve">23) Does the HEI have any disclosures and/or liabilities that must be recognized to comply with </t>
    </r>
    <r>
      <rPr>
        <b/>
        <u/>
        <sz val="9"/>
        <rFont val="Arial"/>
        <family val="2"/>
      </rPr>
      <t>GASBS No. 91</t>
    </r>
    <r>
      <rPr>
        <sz val="9"/>
        <rFont val="Arial"/>
        <family val="2"/>
      </rPr>
      <t xml:space="preserve">, </t>
    </r>
    <r>
      <rPr>
        <i/>
        <sz val="9"/>
        <rFont val="Arial"/>
        <family val="2"/>
      </rPr>
      <t>Conduit Debt Obligations</t>
    </r>
    <r>
      <rPr>
        <sz val="9"/>
        <rFont val="Arial"/>
        <family val="2"/>
      </rPr>
      <t xml:space="preserve">, for FY 2024?  If yes, provide a brief description, including any type of commitment for the obligation, and any other applicable </t>
    </r>
    <r>
      <rPr>
        <b/>
        <u/>
        <sz val="9"/>
        <rFont val="Arial"/>
        <family val="2"/>
      </rPr>
      <t>GASBS No. 91</t>
    </r>
    <r>
      <rPr>
        <sz val="9"/>
        <rFont val="Arial"/>
        <family val="2"/>
      </rPr>
      <t xml:space="preserve"> disclosures.  DOA may request additional information in a separate communication.
Refer to GASB's website at www.gasb.org for information regarding</t>
    </r>
    <r>
      <rPr>
        <b/>
        <u/>
        <sz val="9"/>
        <rFont val="Arial"/>
        <family val="2"/>
      </rPr>
      <t xml:space="preserve"> GASBS No. 91</t>
    </r>
    <r>
      <rPr>
        <sz val="9"/>
        <rFont val="Arial"/>
        <family val="2"/>
      </rPr>
      <t xml:space="preserve">.  </t>
    </r>
    <r>
      <rPr>
        <b/>
        <u/>
        <sz val="9"/>
        <rFont val="Arial"/>
        <family val="2"/>
      </rPr>
      <t>GASBS No. 94</t>
    </r>
    <r>
      <rPr>
        <sz val="9"/>
        <rFont val="Arial"/>
        <family val="2"/>
      </rPr>
      <t xml:space="preserve">, </t>
    </r>
    <r>
      <rPr>
        <i/>
        <sz val="9"/>
        <rFont val="Arial"/>
        <family val="2"/>
      </rPr>
      <t>Public-Private and Public-Public Partnerships and Availability Payment Arrangements</t>
    </r>
    <r>
      <rPr>
        <sz val="9"/>
        <rFont val="Arial"/>
        <family val="2"/>
      </rPr>
      <t xml:space="preserve">, includes amendments to </t>
    </r>
    <r>
      <rPr>
        <b/>
        <u/>
        <sz val="9"/>
        <rFont val="Arial"/>
        <family val="2"/>
      </rPr>
      <t>GASBS No. 91</t>
    </r>
    <r>
      <rPr>
        <sz val="9"/>
        <rFont val="Arial"/>
        <family val="2"/>
      </rPr>
      <t>.</t>
    </r>
  </si>
  <si>
    <r>
      <t xml:space="preserve">24a) </t>
    </r>
    <r>
      <rPr>
        <b/>
        <sz val="9"/>
        <rFont val="Arial"/>
        <family val="2"/>
      </rPr>
      <t>Public-Private and Public-Public Partnership Arrangements (PPPs)</t>
    </r>
    <r>
      <rPr>
        <sz val="9"/>
        <rFont val="Arial"/>
        <family val="2"/>
      </rPr>
      <t xml:space="preserve">:  Does the HEI have any arrangements in place as the operator or transferor that qualify as a PPP pursuant to </t>
    </r>
    <r>
      <rPr>
        <b/>
        <u/>
        <sz val="9"/>
        <rFont val="Arial"/>
        <family val="2"/>
      </rPr>
      <t>GASBS No. 94</t>
    </r>
    <r>
      <rPr>
        <sz val="9"/>
        <rFont val="Arial"/>
        <family val="2"/>
      </rPr>
      <t xml:space="preserve"> requirements?
</t>
    </r>
    <r>
      <rPr>
        <i/>
        <sz val="9"/>
        <rFont val="Arial"/>
        <family val="2"/>
      </rPr>
      <t xml:space="preserve">A PPP arrangement is when the transferor (a government)  has contracted with an operator (nongovernmental or governmental entity) to provide public services by conveying to the operator control of the right to operate or use a nonfinancial asset, such as infrastructure or other capital asset (underlying PPP asset), for a period of time in an exchange or exchange-like transaction. </t>
    </r>
    <r>
      <rPr>
        <sz val="9"/>
        <rFont val="Arial"/>
        <family val="2"/>
      </rPr>
      <t xml:space="preserve">
If yes, complete questions 24b to 24d.</t>
    </r>
  </si>
  <si>
    <r>
      <t xml:space="preserve">24b) </t>
    </r>
    <r>
      <rPr>
        <b/>
        <sz val="9"/>
        <rFont val="Arial"/>
        <family val="2"/>
      </rPr>
      <t>Service Concession Arrangements (SCAs):</t>
    </r>
    <r>
      <rPr>
        <sz val="9"/>
        <rFont val="Arial"/>
        <family val="2"/>
      </rPr>
      <t xml:space="preserve"> Does the HEI have any PPP arrangements that qualify as a SCA  where the HEI is considered the transferor or operator pursuant to </t>
    </r>
    <r>
      <rPr>
        <b/>
        <u/>
        <sz val="9"/>
        <rFont val="Arial"/>
        <family val="2"/>
      </rPr>
      <t>GASBS No. 94</t>
    </r>
    <r>
      <rPr>
        <sz val="9"/>
        <rFont val="Arial"/>
        <family val="2"/>
      </rPr>
      <t xml:space="preserve"> requirements?
</t>
    </r>
    <r>
      <rPr>
        <i/>
        <sz val="9"/>
        <rFont val="Arial"/>
        <family val="2"/>
      </rPr>
      <t>An SCA is a PPP arrangement between a transferor and an operator in which ALL of the following are met:
-The transfer conveys to the operator the right and related obligation to provide public services through the use and operation of an underlying PPP asset in exchange for significant consideration, such as up-front payment, installment payments, new facility, or improvements to an existing facility.
-The operator collects and is compensated by fees from third parties.
-The transferor determines or has the ability to modify or approve which services the operator is required to provide, to whom to provide services, and the prices or rates that can be charged.
-The transferor is entitled to significant residual interest in the service utility of the underlying PPP asset at the end of the arrangement.</t>
    </r>
    <r>
      <rPr>
        <sz val="9"/>
        <rFont val="Arial"/>
        <family val="2"/>
      </rPr>
      <t xml:space="preserve">
If yes, please provide the following information for all arrangements: general description, operator or transferor, installment payments, upfront payments, information relating to underlying PPP asset (new, existing, being constructed), and </t>
    </r>
    <r>
      <rPr>
        <b/>
        <u/>
        <sz val="9"/>
        <rFont val="Arial"/>
        <family val="2"/>
      </rPr>
      <t>GASBS No. 94</t>
    </r>
    <r>
      <rPr>
        <sz val="9"/>
        <rFont val="Arial"/>
        <family val="2"/>
      </rPr>
      <t xml:space="preserve"> footnote disclosures.</t>
    </r>
  </si>
  <si>
    <r>
      <t xml:space="preserve">24e) </t>
    </r>
    <r>
      <rPr>
        <b/>
        <sz val="9"/>
        <rFont val="Arial"/>
        <family val="2"/>
      </rPr>
      <t xml:space="preserve"> Availability Payment Arrangements</t>
    </r>
    <r>
      <rPr>
        <sz val="9"/>
        <rFont val="Arial"/>
        <family val="2"/>
      </rPr>
      <t xml:space="preserve">: Does the HEI have any agreements in place with an operator (nongovernmental or governmental entity) where the HEI qualifies as the transferor that compensates an operator for activities such as designing, constructing, financing, maintaining, or operating an underlying nonfinancial asset for a period of time in an exchange or exchange-like transaction based entirely on the asset's availability for use rather than on tolls, fees, or similar revenues, pursuant to </t>
    </r>
    <r>
      <rPr>
        <b/>
        <u/>
        <sz val="9"/>
        <rFont val="Arial"/>
        <family val="2"/>
      </rPr>
      <t>GASBS No. 94</t>
    </r>
    <r>
      <rPr>
        <u/>
        <sz val="9"/>
        <rFont val="Arial"/>
        <family val="2"/>
      </rPr>
      <t xml:space="preserve"> </t>
    </r>
    <r>
      <rPr>
        <sz val="9"/>
        <rFont val="Arial"/>
        <family val="2"/>
      </rPr>
      <t xml:space="preserve">requirements?
If yes, please provide general information relating to these arrangements.  </t>
    </r>
  </si>
  <si>
    <t xml:space="preserve">HEI - Long-term Liabilities as of June 30, 2023 - Per FY 2023 Att HE-10 TAB 5 Part 1   (plus corrections to TAB 5 Part 1 excluding Central AJEs &amp; insignificant restatements run through CY activity &amp; corrections to TAB 5 Part 5)   </t>
  </si>
  <si>
    <r>
      <t xml:space="preserve">Part 25) </t>
    </r>
    <r>
      <rPr>
        <b/>
        <u/>
        <sz val="9"/>
        <rFont val="Arial"/>
        <family val="2"/>
      </rPr>
      <t>GASBS No. 99</t>
    </r>
    <r>
      <rPr>
        <b/>
        <sz val="9"/>
        <rFont val="Arial"/>
        <family val="2"/>
      </rPr>
      <t xml:space="preserve">, </t>
    </r>
    <r>
      <rPr>
        <i/>
        <sz val="9"/>
        <rFont val="Arial"/>
        <family val="2"/>
      </rPr>
      <t>Omnibus 2022</t>
    </r>
  </si>
  <si>
    <r>
      <rPr>
        <b/>
        <sz val="9"/>
        <rFont val="Arial"/>
        <family val="2"/>
      </rPr>
      <t>Part 2)</t>
    </r>
    <r>
      <rPr>
        <sz val="9"/>
        <rFont val="Arial"/>
        <family val="2"/>
      </rPr>
      <t xml:space="preserve"> Does the institution have any leases with a present value greater than the institution's capitalization threshold that the institution has committed to at June 30, 2024, that are NOT included on TAB 5, LT Liabilities, because the lease term did not start during FY 2024, excluding any significant intrafund amounts with blended or discrete foundation(s)?  
If yes, provide a description and amounts of any lease commitments with a present value greater than the institution's capitalization threshold for leases that have been committed to where the initial payment did not start during FY 2024, excluding any significant intrafund amounts with blended or discrete foundation(s). </t>
    </r>
  </si>
  <si>
    <r>
      <rPr>
        <b/>
        <sz val="9"/>
        <rFont val="Arial"/>
        <family val="2"/>
      </rPr>
      <t>Part 3)</t>
    </r>
    <r>
      <rPr>
        <sz val="9"/>
        <rFont val="Arial"/>
        <family val="2"/>
      </rPr>
      <t xml:space="preserve">  Does the institution have any short-term leases that should be disclosed as "Off-Balance Sheet obligations for FY 2024"?  For Off-balance sheet obligation purposes, short-term leases are leases that have a calculated asset value of less than the institution's capitalization threshold or a lease period of 12 months or less, including all renewal options regardless of the likelihood of the options being exercised.  
If yes, please provide the total present value lease obligation in aggregate for all short-term leases below.</t>
    </r>
  </si>
  <si>
    <r>
      <rPr>
        <b/>
        <sz val="9"/>
        <rFont val="Arial"/>
        <family val="2"/>
      </rPr>
      <t>Part 5)</t>
    </r>
    <r>
      <rPr>
        <sz val="9"/>
        <rFont val="Arial"/>
        <family val="2"/>
      </rPr>
      <t xml:space="preserve"> Does the institution have any subscription-based information technology arrangements with a present value equal to or greater than the institution's capitalization threshold that the institution has committed to at June 30, 2024, that are NOT included on TAB 5, LT Liabilities, because the subscription term did not start during FY 2024, excluding any significant intrafund amounts with blended or discrete foundation(s)?
If yes, provide a description and amounts of any subscription commitments with a present value equal to or greater than the institution's capitalization threshold for subscription-based information technology arrangements that have been committed to where the initial payment did not start during FY 2024, excluding any significant intrafund amounts with blended or discrete foundation(s).</t>
    </r>
  </si>
  <si>
    <t>TAB 2-Part 3</t>
  </si>
  <si>
    <t>Total All Receivables, Restricted Receivables, &amp; Due froms for HEI only</t>
  </si>
  <si>
    <t>TAB F3--Part 3</t>
  </si>
  <si>
    <t>TAB 2-Part 4</t>
  </si>
  <si>
    <t>TAB F3-Part 3</t>
  </si>
  <si>
    <r>
      <rPr>
        <b/>
        <u/>
        <sz val="9"/>
        <rFont val="Arial"/>
        <family val="2"/>
      </rPr>
      <t>GASBS No. 99</t>
    </r>
    <r>
      <rPr>
        <sz val="9"/>
        <rFont val="Arial"/>
        <family val="2"/>
      </rPr>
      <t xml:space="preserve"> implementation</t>
    </r>
  </si>
  <si>
    <r>
      <t xml:space="preserve">Attachment HE-10 &amp; DOA's Accounts Receivable System:  </t>
    </r>
    <r>
      <rPr>
        <sz val="10"/>
        <rFont val="Arial"/>
        <family val="2"/>
      </rPr>
      <t xml:space="preserve">Does the amount reported on TAB 2 Part 1 </t>
    </r>
    <r>
      <rPr>
        <u/>
        <sz val="10"/>
        <rFont val="Arial"/>
        <family val="2"/>
      </rPr>
      <t>plus</t>
    </r>
    <r>
      <rPr>
        <sz val="10"/>
        <rFont val="Arial"/>
        <family val="2"/>
      </rPr>
      <t xml:space="preserve"> Part 3 and other receivable/due from FST amounts agree to the amount reported in DOA's Accounts Receivable System?  </t>
    </r>
  </si>
  <si>
    <t>Per Cardinal</t>
  </si>
  <si>
    <t xml:space="preserve">Difference - Total for account 101010 per Cardinal excluding funds 01000, 09650, and 03220* </t>
  </si>
  <si>
    <t>(cell C24) less the total per the financial statement template (cell J20):</t>
  </si>
  <si>
    <r>
      <t>Part 3)</t>
    </r>
    <r>
      <rPr>
        <sz val="9"/>
        <rFont val="Arial"/>
        <family val="2"/>
      </rPr>
      <t xml:space="preserve"> </t>
    </r>
    <r>
      <rPr>
        <b/>
        <sz val="9"/>
        <rFont val="Arial"/>
        <family val="2"/>
      </rPr>
      <t>Restricted Receivables, Net- Footnote disclosure</t>
    </r>
    <r>
      <rPr>
        <sz val="9"/>
        <rFont val="Arial"/>
        <family val="2"/>
      </rPr>
      <t>: Provide the footnote disclosure for the restricted receivables reported on the FST for the HEI that meet either criterion below:</t>
    </r>
  </si>
  <si>
    <r>
      <t xml:space="preserve">-Restricted Receivables, Net amounts expected to be collected in greater than one year; </t>
    </r>
    <r>
      <rPr>
        <b/>
        <u/>
        <sz val="9"/>
        <rFont val="Arial"/>
        <family val="2"/>
      </rPr>
      <t>or</t>
    </r>
    <r>
      <rPr>
        <sz val="9"/>
        <rFont val="Arial"/>
        <family val="2"/>
      </rPr>
      <t xml:space="preserve"> 
-Restricted Receivables, Net amounts expected to be collected in greater than one year and a portion is expected to be collected within one year. 
</t>
    </r>
    <r>
      <rPr>
        <u/>
        <sz val="9"/>
        <rFont val="Arial"/>
        <family val="2"/>
      </rPr>
      <t>Exceptions</t>
    </r>
    <r>
      <rPr>
        <sz val="9"/>
        <rFont val="Arial"/>
        <family val="2"/>
      </rPr>
      <t xml:space="preserve">:  Amounts that should </t>
    </r>
    <r>
      <rPr>
        <u/>
        <sz val="9"/>
        <rFont val="Arial"/>
        <family val="2"/>
      </rPr>
      <t>not</t>
    </r>
    <r>
      <rPr>
        <sz val="9"/>
        <rFont val="Arial"/>
        <family val="2"/>
      </rPr>
      <t xml:space="preserve"> be included would be restricted receivable, net amounts that are expected to be collected within one year </t>
    </r>
    <r>
      <rPr>
        <b/>
        <sz val="9"/>
        <rFont val="Arial"/>
        <family val="2"/>
      </rPr>
      <t>and</t>
    </r>
    <r>
      <rPr>
        <sz val="9"/>
        <rFont val="Arial"/>
        <family val="2"/>
      </rPr>
      <t xml:space="preserve"> that do not have a portion expected to be collected in greater than one year.  Since these are considered current assets and are more liquid, they would be reported on the Receivables, Net line item.  </t>
    </r>
  </si>
  <si>
    <r>
      <rPr>
        <b/>
        <sz val="9"/>
        <rFont val="Arial"/>
        <family val="2"/>
      </rPr>
      <t>Part 4)</t>
    </r>
    <r>
      <rPr>
        <sz val="9"/>
        <rFont val="Arial"/>
        <family val="2"/>
      </rPr>
      <t xml:space="preserve"> Does the institution have any short- term subscription-based information technology arrangements that should be disclosed as Off-Balance Sheet obligations for FY 2024? For Off-balance sheet obligation purposes, short-term subscription-based information technology arrangements are subscriptions that have a calculated asset value of less than the institution's capitalization threshold or a subscription period of 12 months or less, including all renewal options regardless of the likelihood of the options being exercised.
If yes, please provide the total present value subscription obligation in aggregate for all short-term subscriptions below.</t>
    </r>
  </si>
  <si>
    <r>
      <t xml:space="preserve">18) </t>
    </r>
    <r>
      <rPr>
        <b/>
        <sz val="9"/>
        <rFont val="Arial"/>
        <family val="2"/>
      </rPr>
      <t>Public- Private and Public-Public Partnerships Arrangements (PPPs) NOT including Service Concession Arrangements (SCAs)</t>
    </r>
    <r>
      <rPr>
        <sz val="9"/>
        <rFont val="Arial"/>
        <family val="2"/>
      </rPr>
      <t>- Amounts associated with PPPs, not including SCAs, when the government as operator purchases or constructs the new underlying PPP asset to be transferred to transferor (</t>
    </r>
    <r>
      <rPr>
        <b/>
        <u/>
        <sz val="9"/>
        <rFont val="Arial"/>
        <family val="2"/>
      </rPr>
      <t>GASBS No. 94</t>
    </r>
    <r>
      <rPr>
        <sz val="9"/>
        <rFont val="Arial"/>
        <family val="2"/>
      </rPr>
      <t xml:space="preserve"> as amended by </t>
    </r>
    <r>
      <rPr>
        <b/>
        <u/>
        <sz val="9"/>
        <rFont val="Arial"/>
        <family val="2"/>
      </rPr>
      <t>GASBS No. 99</t>
    </r>
    <r>
      <rPr>
        <sz val="9"/>
        <rFont val="Arial"/>
        <family val="2"/>
      </rPr>
      <t xml:space="preserve"> paragraph 22)</t>
    </r>
  </si>
  <si>
    <r>
      <rPr>
        <b/>
        <u/>
        <sz val="9"/>
        <rFont val="Arial"/>
        <family val="2"/>
      </rPr>
      <t>GASBS No. 94</t>
    </r>
    <r>
      <rPr>
        <sz val="9"/>
        <rFont val="Arial"/>
        <family val="2"/>
      </rPr>
      <t xml:space="preserve"> requires the recognition, measurement and disclosure of information about public-private, public-public partnerships and availability payment arrangements. This statement encompasses service concession arrangements and other similar types of arrangements.  This statement is for entities using the current financial resources measurement focus and the economic resources measurement focus. Therefore, it applies to governmental fund financial statements, the proprietary fund financial statements, Component Units, Higher Education and government-wide statements. This statement supersedes </t>
    </r>
    <r>
      <rPr>
        <b/>
        <u/>
        <sz val="9"/>
        <rFont val="Arial"/>
        <family val="2"/>
      </rPr>
      <t>GASBS No. 60</t>
    </r>
    <r>
      <rPr>
        <sz val="9"/>
        <rFont val="Arial"/>
        <family val="2"/>
      </rPr>
      <t xml:space="preserve">, </t>
    </r>
    <r>
      <rPr>
        <i/>
        <sz val="9"/>
        <rFont val="Arial"/>
        <family val="2"/>
      </rPr>
      <t>Accounting and Financial Reporting for Service Concession Arrangements</t>
    </r>
    <r>
      <rPr>
        <sz val="9"/>
        <rFont val="Arial"/>
        <family val="2"/>
      </rPr>
      <t xml:space="preserve">, and amends </t>
    </r>
    <r>
      <rPr>
        <b/>
        <u/>
        <sz val="9"/>
        <rFont val="Arial"/>
        <family val="2"/>
      </rPr>
      <t>GASBS No. 87</t>
    </r>
    <r>
      <rPr>
        <sz val="9"/>
        <rFont val="Arial"/>
        <family val="2"/>
      </rPr>
      <t xml:space="preserve">, </t>
    </r>
    <r>
      <rPr>
        <i/>
        <sz val="9"/>
        <rFont val="Arial"/>
        <family val="2"/>
      </rPr>
      <t>Leases</t>
    </r>
    <r>
      <rPr>
        <sz val="9"/>
        <rFont val="Arial"/>
        <family val="2"/>
      </rPr>
      <t xml:space="preserve">. 
</t>
    </r>
    <r>
      <rPr>
        <b/>
        <u/>
        <sz val="9"/>
        <rFont val="Arial"/>
        <family val="2"/>
      </rPr>
      <t>GASBS No. 99</t>
    </r>
    <r>
      <rPr>
        <sz val="9"/>
        <rFont val="Arial"/>
        <family val="2"/>
      </rPr>
      <t xml:space="preserve">, </t>
    </r>
    <r>
      <rPr>
        <i/>
        <sz val="9"/>
        <rFont val="Arial"/>
        <family val="2"/>
      </rPr>
      <t>Omnibus 2022</t>
    </r>
    <r>
      <rPr>
        <sz val="9"/>
        <rFont val="Arial"/>
        <family val="2"/>
      </rPr>
      <t xml:space="preserve">, amended </t>
    </r>
    <r>
      <rPr>
        <b/>
        <u/>
        <sz val="9"/>
        <rFont val="Arial"/>
        <family val="2"/>
      </rPr>
      <t>GASBS No. 94</t>
    </r>
    <r>
      <rPr>
        <sz val="9"/>
        <rFont val="Arial"/>
        <family val="2"/>
      </rPr>
      <t xml:space="preserve"> paragraphs 10, 28, 45, and 47.
Refer to GASB's website at </t>
    </r>
    <r>
      <rPr>
        <b/>
        <sz val="9"/>
        <rFont val="Arial"/>
        <family val="2"/>
      </rPr>
      <t xml:space="preserve">www.gasb.org </t>
    </r>
    <r>
      <rPr>
        <sz val="9"/>
        <rFont val="Arial"/>
        <family val="2"/>
      </rPr>
      <t xml:space="preserve">for information regarding </t>
    </r>
    <r>
      <rPr>
        <b/>
        <u/>
        <sz val="9"/>
        <rFont val="Arial"/>
        <family val="2"/>
      </rPr>
      <t>GASBS No. 94</t>
    </r>
    <r>
      <rPr>
        <sz val="9"/>
        <rFont val="Arial"/>
        <family val="2"/>
      </rPr>
      <t>.</t>
    </r>
  </si>
  <si>
    <r>
      <t xml:space="preserve">24c)  </t>
    </r>
    <r>
      <rPr>
        <b/>
        <sz val="9"/>
        <rFont val="Arial"/>
        <family val="2"/>
      </rPr>
      <t>Leases</t>
    </r>
    <r>
      <rPr>
        <sz val="9"/>
        <rFont val="Arial"/>
        <family val="2"/>
      </rPr>
      <t xml:space="preserve">:  Does the HEI have any PPP arrangements that meet the definition of a lease pursuant to </t>
    </r>
    <r>
      <rPr>
        <b/>
        <u/>
        <sz val="9"/>
        <rFont val="Arial"/>
        <family val="2"/>
      </rPr>
      <t>GASBS No. 87</t>
    </r>
    <r>
      <rPr>
        <sz val="9"/>
        <rFont val="Arial"/>
        <family val="2"/>
      </rPr>
      <t xml:space="preserve">, </t>
    </r>
    <r>
      <rPr>
        <i/>
        <sz val="9"/>
        <rFont val="Arial"/>
        <family val="2"/>
      </rPr>
      <t>Leases</t>
    </r>
    <r>
      <rPr>
        <sz val="9"/>
        <rFont val="Arial"/>
        <family val="2"/>
      </rPr>
      <t xml:space="preserve">, and meets the following criteria, pursuant to </t>
    </r>
    <r>
      <rPr>
        <b/>
        <u/>
        <sz val="9"/>
        <rFont val="Arial"/>
        <family val="2"/>
      </rPr>
      <t>GASBS No. 94</t>
    </r>
    <r>
      <rPr>
        <sz val="9"/>
        <rFont val="Arial"/>
        <family val="2"/>
      </rPr>
      <t xml:space="preserve">?
</t>
    </r>
    <r>
      <rPr>
        <i/>
        <sz val="9"/>
        <rFont val="Arial"/>
        <family val="2"/>
      </rPr>
      <t>-existing assets of the transferor are the only underlying PPP assets
-improvements are not required to be made by the operator to the existing underlying PPP assets
-the PPP does NOT meet the definition of an SCA (question 24b above)</t>
    </r>
    <r>
      <rPr>
        <sz val="9"/>
        <rFont val="Arial"/>
        <family val="2"/>
      </rPr>
      <t xml:space="preserve">
If yes, please follow all lease reporting requirements per </t>
    </r>
    <r>
      <rPr>
        <b/>
        <u/>
        <sz val="9"/>
        <rFont val="Arial"/>
        <family val="2"/>
      </rPr>
      <t>GASBS No. 87</t>
    </r>
    <r>
      <rPr>
        <sz val="9"/>
        <rFont val="Arial"/>
        <family val="2"/>
      </rPr>
      <t xml:space="preserve">.  </t>
    </r>
  </si>
  <si>
    <r>
      <t xml:space="preserve">25) Does the HEI (guarantor) extend exchange or exchange-like financial guarantees for the obligations of a legally separate entity* or individual (issuers) that require disclosures pursuant to </t>
    </r>
    <r>
      <rPr>
        <b/>
        <u/>
        <sz val="9"/>
        <rFont val="Arial"/>
        <family val="2"/>
      </rPr>
      <t>GASBS No. 99</t>
    </r>
    <r>
      <rPr>
        <sz val="9"/>
        <rFont val="Arial"/>
        <family val="2"/>
      </rPr>
      <t xml:space="preserve">, </t>
    </r>
    <r>
      <rPr>
        <i/>
        <sz val="9"/>
        <rFont val="Arial"/>
        <family val="2"/>
      </rPr>
      <t xml:space="preserve">Omnibus 2022, </t>
    </r>
    <r>
      <rPr>
        <sz val="9"/>
        <rFont val="Arial"/>
        <family val="2"/>
      </rPr>
      <t xml:space="preserve">as of June 30, 2024? If yes, provide amounts, a brief description, and the applicable </t>
    </r>
    <r>
      <rPr>
        <b/>
        <u/>
        <sz val="9"/>
        <rFont val="Arial"/>
        <family val="2"/>
      </rPr>
      <t>GASBS No. 99</t>
    </r>
    <r>
      <rPr>
        <sz val="9"/>
        <rFont val="Arial"/>
        <family val="2"/>
      </rPr>
      <t xml:space="preserve"> disclosures below. DOA may request additional information in a separate communication.
</t>
    </r>
    <r>
      <rPr>
        <b/>
        <u/>
        <sz val="9"/>
        <rFont val="Arial"/>
        <family val="2"/>
      </rPr>
      <t>GASBS No. 99</t>
    </r>
    <r>
      <rPr>
        <sz val="9"/>
        <rFont val="Arial"/>
        <family val="2"/>
      </rPr>
      <t xml:space="preserve"> paragraphs 6-7 do not apply to guarantees related to special assessment debt addressed in </t>
    </r>
    <r>
      <rPr>
        <b/>
        <u/>
        <sz val="9"/>
        <rFont val="Arial"/>
        <family val="2"/>
      </rPr>
      <t>GASBS No. 6</t>
    </r>
    <r>
      <rPr>
        <sz val="9"/>
        <rFont val="Arial"/>
        <family val="2"/>
      </rPr>
      <t xml:space="preserve">, </t>
    </r>
    <r>
      <rPr>
        <i/>
        <sz val="9"/>
        <rFont val="Arial"/>
        <family val="2"/>
      </rPr>
      <t>Accounting and Financial Reporting for Special Assessments</t>
    </r>
    <r>
      <rPr>
        <sz val="9"/>
        <rFont val="Arial"/>
        <family val="2"/>
      </rPr>
      <t xml:space="preserve">, financial guarantee contracts within the scope of </t>
    </r>
    <r>
      <rPr>
        <b/>
        <u/>
        <sz val="9"/>
        <rFont val="Arial"/>
        <family val="2"/>
      </rPr>
      <t>GASBS No. 53</t>
    </r>
    <r>
      <rPr>
        <sz val="9"/>
        <rFont val="Arial"/>
        <family val="2"/>
      </rPr>
      <t xml:space="preserve">, </t>
    </r>
    <r>
      <rPr>
        <i/>
        <sz val="9"/>
        <rFont val="Arial"/>
        <family val="2"/>
      </rPr>
      <t>Accounting and Financial Reporting for Derivative Instruments</t>
    </r>
    <r>
      <rPr>
        <sz val="9"/>
        <rFont val="Arial"/>
        <family val="2"/>
      </rPr>
      <t xml:space="preserve">, or guarantees related to conduit debt obligations within the scope of </t>
    </r>
    <r>
      <rPr>
        <b/>
        <u/>
        <sz val="9"/>
        <rFont val="Arial"/>
        <family val="2"/>
      </rPr>
      <t>GASBS No. 91</t>
    </r>
    <r>
      <rPr>
        <sz val="9"/>
        <rFont val="Arial"/>
        <family val="2"/>
      </rPr>
      <t xml:space="preserve">, </t>
    </r>
    <r>
      <rPr>
        <i/>
        <sz val="9"/>
        <rFont val="Arial"/>
        <family val="2"/>
      </rPr>
      <t>Conduit Debt Obligations</t>
    </r>
    <r>
      <rPr>
        <sz val="9"/>
        <rFont val="Arial"/>
        <family val="2"/>
      </rPr>
      <t xml:space="preserve">.
</t>
    </r>
    <r>
      <rPr>
        <b/>
        <u/>
        <sz val="9"/>
        <rFont val="Arial"/>
        <family val="2"/>
      </rPr>
      <t>GASBS No. 99</t>
    </r>
    <r>
      <rPr>
        <sz val="9"/>
        <rFont val="Arial"/>
        <family val="2"/>
      </rPr>
      <t xml:space="preserve"> paragraphs 4-7 are effective beginning with FY 2024. Refer to GASB's website at www.gasb.org for information regarding </t>
    </r>
    <r>
      <rPr>
        <b/>
        <u/>
        <sz val="9"/>
        <rFont val="Arial"/>
        <family val="2"/>
      </rPr>
      <t>GASBS No. 99</t>
    </r>
    <r>
      <rPr>
        <sz val="9"/>
        <rFont val="Arial"/>
        <family val="2"/>
      </rPr>
      <t>.
*Note:  A legally separate entity includes other governments and nongovernmental entities (i.e. not-for profit organizations, private entities, etc.), and blended or discretely presented component units of the HEI.</t>
    </r>
  </si>
  <si>
    <r>
      <t xml:space="preserve">26) Does the HEI have any of the following that require </t>
    </r>
    <r>
      <rPr>
        <b/>
        <u/>
        <sz val="9"/>
        <rFont val="Arial"/>
        <family val="2"/>
      </rPr>
      <t>GASBS No. 100</t>
    </r>
    <r>
      <rPr>
        <sz val="9"/>
        <rFont val="Arial"/>
        <family val="2"/>
      </rPr>
      <t xml:space="preserve"> disclosures as of June 30, 2024: change in accounting estimate, reclassification from a change in accounting principle, and/or reclassification from an error correction?   If yes, provide amounts, a brief description and the applicable </t>
    </r>
    <r>
      <rPr>
        <b/>
        <u/>
        <sz val="9"/>
        <rFont val="Arial"/>
        <family val="2"/>
      </rPr>
      <t>GASBS No. 100</t>
    </r>
    <r>
      <rPr>
        <sz val="9"/>
        <rFont val="Arial"/>
        <family val="2"/>
      </rPr>
      <t xml:space="preserve"> disclosures below.
</t>
    </r>
    <r>
      <rPr>
        <b/>
        <u/>
        <sz val="9"/>
        <rFont val="Arial"/>
        <family val="2"/>
      </rPr>
      <t>GASBS No. 100</t>
    </r>
    <r>
      <rPr>
        <sz val="9"/>
        <rFont val="Arial"/>
        <family val="2"/>
      </rPr>
      <t xml:space="preserve"> is effective beginning with FY 2024. Refer to GASB's website at www.gasb.org for information regarding </t>
    </r>
    <r>
      <rPr>
        <b/>
        <u/>
        <sz val="9"/>
        <rFont val="Arial"/>
        <family val="2"/>
      </rPr>
      <t>GASBS No. 100</t>
    </r>
    <r>
      <rPr>
        <sz val="9"/>
        <rFont val="Arial"/>
        <family val="2"/>
      </rPr>
      <t xml:space="preserve">.
</t>
    </r>
  </si>
  <si>
    <r>
      <t xml:space="preserve">Part 1) </t>
    </r>
    <r>
      <rPr>
        <b/>
        <sz val="9"/>
        <rFont val="Arial"/>
        <family val="2"/>
      </rPr>
      <t>Receivables, Net - Footnote disclosures:</t>
    </r>
    <r>
      <rPr>
        <sz val="9"/>
        <rFont val="Arial"/>
        <family val="2"/>
      </rPr>
      <t xml:space="preserve">  Provide the footnote disclosures for the receivables reported on the Combining FST for the foundation(s) and any applicable elimination entries that are </t>
    </r>
    <r>
      <rPr>
        <u/>
        <sz val="9"/>
        <rFont val="Arial"/>
        <family val="2"/>
      </rPr>
      <t>not</t>
    </r>
    <r>
      <rPr>
        <sz val="9"/>
        <rFont val="Arial"/>
        <family val="2"/>
      </rPr>
      <t xml:space="preserve"> Contributions Receivables reported in Part 2 and do </t>
    </r>
    <r>
      <rPr>
        <u/>
        <sz val="9"/>
        <rFont val="Arial"/>
        <family val="2"/>
      </rPr>
      <t>not</t>
    </r>
    <r>
      <rPr>
        <sz val="9"/>
        <rFont val="Arial"/>
        <family val="2"/>
      </rPr>
      <t xml:space="preserve"> meet the restricted receivables criteria for Part 3 .
Part 2)</t>
    </r>
    <r>
      <rPr>
        <b/>
        <sz val="9"/>
        <rFont val="Arial"/>
        <family val="2"/>
      </rPr>
      <t xml:space="preserve"> Contributions Receivable, Net - Footnote disclosures:</t>
    </r>
    <r>
      <rPr>
        <sz val="9"/>
        <rFont val="Arial"/>
        <family val="2"/>
      </rPr>
      <t xml:space="preserve">  Provide the footnote disclosures for the contributions receivables reported on the Combining FST for foundation(s) and any applicable elimination entries.
Part 3) </t>
    </r>
    <r>
      <rPr>
        <b/>
        <sz val="9"/>
        <rFont val="Arial"/>
        <family val="2"/>
      </rPr>
      <t>Restricted Receivables, Net - Footnote disclosures:</t>
    </r>
    <r>
      <rPr>
        <sz val="9"/>
        <rFont val="Arial"/>
        <family val="2"/>
      </rPr>
      <t xml:space="preserve">  Provide the footnote disclosure for the restricted receivables reported on the Combining FST for the foundation(s) and any applicable elimination entries that meet either criterion below:
-Restricted Receivables, Net amounts expected to be collected in greater than one year; </t>
    </r>
    <r>
      <rPr>
        <b/>
        <u/>
        <sz val="9"/>
        <rFont val="Arial"/>
        <family val="2"/>
      </rPr>
      <t>or</t>
    </r>
    <r>
      <rPr>
        <sz val="9"/>
        <rFont val="Arial"/>
        <family val="2"/>
      </rPr>
      <t xml:space="preserve"> 
-Restricted Receivables, Net amounts expected to be collected in greater than one year and a portion is expected to be collected within one year. 
</t>
    </r>
    <r>
      <rPr>
        <u/>
        <sz val="9"/>
        <rFont val="Arial"/>
        <family val="2"/>
      </rPr>
      <t>Exceptions:</t>
    </r>
    <r>
      <rPr>
        <sz val="9"/>
        <rFont val="Arial"/>
        <family val="2"/>
      </rPr>
      <t xml:space="preserve">  Amounts that should </t>
    </r>
    <r>
      <rPr>
        <b/>
        <u/>
        <sz val="9"/>
        <rFont val="Arial"/>
        <family val="2"/>
      </rPr>
      <t>not</t>
    </r>
    <r>
      <rPr>
        <sz val="9"/>
        <rFont val="Arial"/>
        <family val="2"/>
      </rPr>
      <t xml:space="preserve"> be included would be restricted receivable, net amounts that are expected to be collected within one year </t>
    </r>
    <r>
      <rPr>
        <b/>
        <u/>
        <sz val="9"/>
        <rFont val="Arial"/>
        <family val="2"/>
      </rPr>
      <t>and</t>
    </r>
    <r>
      <rPr>
        <sz val="9"/>
        <rFont val="Arial"/>
        <family val="2"/>
      </rPr>
      <t xml:space="preserve"> that do not have a portion expected to be collected in greater than one year.  Since these are considered current assets and are more liquid, they would be reported on the Receivables, Net line item.</t>
    </r>
  </si>
  <si>
    <t xml:space="preserve">        Total Receivables, Net</t>
  </si>
  <si>
    <t xml:space="preserve">Provide the Receivables, Net amount from the above total that is expected to be collected in greater than one year. </t>
  </si>
  <si>
    <r>
      <rPr>
        <b/>
        <strike/>
        <sz val="10"/>
        <rFont val="Arial"/>
        <family val="2"/>
      </rPr>
      <t>Part 3)</t>
    </r>
    <r>
      <rPr>
        <strike/>
        <sz val="10"/>
        <rFont val="Arial"/>
        <family val="2"/>
      </rPr>
      <t xml:space="preserve"> For</t>
    </r>
    <r>
      <rPr>
        <b/>
        <strike/>
        <sz val="10"/>
        <rFont val="Arial"/>
        <family val="2"/>
      </rPr>
      <t xml:space="preserve"> Restricted Receivables, Net</t>
    </r>
    <r>
      <rPr>
        <strike/>
        <sz val="10"/>
        <rFont val="Arial"/>
        <family val="2"/>
      </rPr>
      <t xml:space="preserve"> reported by the foundations as of year-end, complete the</t>
    </r>
  </si>
  <si>
    <t xml:space="preserve">        Total Restricted Receivables, Net</t>
  </si>
  <si>
    <t xml:space="preserve">Provide the Restricted Receivables, Net amount from the above total that is expected to be collected in greater than one year. </t>
  </si>
  <si>
    <r>
      <rPr>
        <b/>
        <sz val="10"/>
        <rFont val="Arial"/>
        <family val="2"/>
      </rPr>
      <t>Part 2a)  Demand Bonds:</t>
    </r>
    <r>
      <rPr>
        <sz val="10"/>
        <rFont val="Arial"/>
        <family val="2"/>
      </rPr>
      <t xml:space="preserve">  Do any of the bonds reported in Part 2 represent demand bonds*?  If yes, provide the foundation, description, outstanding balance as of year-end, and indicate if the demand bonds are required to be reported as a current liability (due within one year) in accordance with FASB standards.
Note*:   Per GASB Interpretation 1 paragraph 2, demand bonds are debt issuances that have demand (“put”) provisions as one of their features.  The demand provisions give the bondholder the right to require the issuer or its agent to redeem the bonds within a certain period after giving notice.</t>
    </r>
  </si>
  <si>
    <t>Part 5) Other Assets &amp; Other Restricted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</si>
</sst>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2" formatCode="_(&quot;$&quot;* #,##0_);_(&quot;$&quot;* \(#,##0\);_(&quot;$&quot;* &quot;-&quot;_);_(@_)"/>
    <numFmt numFmtId="41" formatCode="_(* #,##0_);_(* \(#,##0\);_(* &quot;-&quot;_);_(@_)"/>
    <numFmt numFmtId="43" formatCode="_(* #,##0.00_);_(* \(#,##0.00\);_(* &quot;-&quot;??_);_(@_)"/>
    <numFmt numFmtId="164" formatCode="mmmm\ d\,\ yyyy"/>
    <numFmt numFmtId="165" formatCode="_(* #,##0_);_(* \(#,##0\);_(* &quot;-&quot;??_);_(@_)"/>
    <numFmt numFmtId="166" formatCode="mmmm\ dd"/>
    <numFmt numFmtId="167" formatCode="&quot;$&quot;#,##0\ ;\(&quot;$&quot;#,##0\)"/>
    <numFmt numFmtId="168" formatCode="&quot;$&quot;\ \ \ \ \ \ \ #,##0_);\(&quot;$&quot;#,##0\)"/>
    <numFmt numFmtId="169" formatCode="mm/dd/yy"/>
    <numFmt numFmtId="170" formatCode="mm/dd/yy;@"/>
    <numFmt numFmtId="171" formatCode="0_);\(0\)"/>
    <numFmt numFmtId="172" formatCode="[&lt;=9999999]###\-####;\(###\)\ ###\-####"/>
  </numFmts>
  <fonts count="96" x14ac:knownFonts="1">
    <font>
      <sz val="10"/>
      <name val="Times New Roman"/>
    </font>
    <font>
      <sz val="11"/>
      <color theme="1"/>
      <name val="Calibri"/>
      <family val="2"/>
      <scheme val="minor"/>
    </font>
    <font>
      <sz val="11"/>
      <color theme="1"/>
      <name val="Calibri"/>
      <family val="2"/>
      <scheme val="minor"/>
    </font>
    <font>
      <sz val="10"/>
      <name val="Times New Roman"/>
      <family val="1"/>
    </font>
    <font>
      <b/>
      <sz val="9"/>
      <name val="Arial"/>
      <family val="2"/>
    </font>
    <font>
      <sz val="9"/>
      <name val="Arial"/>
      <family val="2"/>
    </font>
    <font>
      <b/>
      <sz val="9"/>
      <name val="Arial"/>
      <family val="2"/>
    </font>
    <font>
      <sz val="9"/>
      <name val="Arial"/>
      <family val="2"/>
    </font>
    <font>
      <b/>
      <sz val="8"/>
      <name val="Arial"/>
      <family val="2"/>
    </font>
    <font>
      <sz val="8"/>
      <color indexed="81"/>
      <name val="Tahoma"/>
      <family val="2"/>
    </font>
    <font>
      <sz val="10"/>
      <name val="Arial"/>
      <family val="2"/>
    </font>
    <font>
      <sz val="10"/>
      <name val="Courier"/>
      <family val="3"/>
    </font>
    <font>
      <sz val="8"/>
      <name val="Times New Roman"/>
      <family val="1"/>
    </font>
    <font>
      <sz val="8"/>
      <name val="Arial"/>
      <family val="2"/>
    </font>
    <font>
      <i/>
      <sz val="8"/>
      <name val="Arial"/>
      <family val="2"/>
    </font>
    <font>
      <i/>
      <sz val="9"/>
      <name val="Arial"/>
      <family val="2"/>
    </font>
    <font>
      <sz val="9"/>
      <color indexed="10"/>
      <name val="Arial"/>
      <family val="2"/>
    </font>
    <font>
      <sz val="12"/>
      <color indexed="24"/>
      <name val="Arial"/>
      <family val="2"/>
    </font>
    <font>
      <b/>
      <sz val="14"/>
      <color indexed="24"/>
      <name val="Arial"/>
      <family val="2"/>
    </font>
    <font>
      <b/>
      <sz val="12"/>
      <color indexed="24"/>
      <name val="Arial"/>
      <family val="2"/>
    </font>
    <font>
      <sz val="8"/>
      <color indexed="10"/>
      <name val="Arial"/>
      <family val="2"/>
    </font>
    <font>
      <b/>
      <sz val="10"/>
      <color indexed="81"/>
      <name val="Arial"/>
      <family val="2"/>
    </font>
    <font>
      <sz val="10"/>
      <color indexed="81"/>
      <name val="Arial"/>
      <family val="2"/>
    </font>
    <font>
      <sz val="10"/>
      <name val="Arial"/>
      <family val="2"/>
    </font>
    <font>
      <sz val="9"/>
      <color indexed="12"/>
      <name val="Arial"/>
      <family val="2"/>
    </font>
    <font>
      <b/>
      <sz val="10"/>
      <name val="Arial"/>
      <family val="2"/>
    </font>
    <font>
      <sz val="10"/>
      <color indexed="53"/>
      <name val="Arial"/>
      <family val="2"/>
    </font>
    <font>
      <sz val="8"/>
      <color indexed="8"/>
      <name val="Arial"/>
      <family val="2"/>
    </font>
    <font>
      <b/>
      <sz val="8"/>
      <color indexed="8"/>
      <name val="Arial"/>
      <family val="2"/>
    </font>
    <font>
      <sz val="9"/>
      <color indexed="81"/>
      <name val="Arial"/>
      <family val="2"/>
    </font>
    <font>
      <b/>
      <sz val="9"/>
      <color indexed="81"/>
      <name val="Arial"/>
      <family val="2"/>
    </font>
    <font>
      <b/>
      <sz val="10"/>
      <color indexed="8"/>
      <name val="Arial"/>
      <family val="2"/>
    </font>
    <font>
      <i/>
      <sz val="10"/>
      <name val="Arial"/>
      <family val="2"/>
    </font>
    <font>
      <b/>
      <u/>
      <sz val="9"/>
      <name val="Arial"/>
      <family val="2"/>
    </font>
    <font>
      <sz val="9"/>
      <name val="Times New Roman"/>
      <family val="1"/>
    </font>
    <font>
      <u/>
      <sz val="9"/>
      <name val="Arial"/>
      <family val="2"/>
    </font>
    <font>
      <sz val="10"/>
      <name val="Times New Roman"/>
      <family val="1"/>
    </font>
    <font>
      <b/>
      <sz val="8"/>
      <color indexed="81"/>
      <name val="Arial"/>
      <family val="2"/>
    </font>
    <font>
      <sz val="8"/>
      <color indexed="81"/>
      <name val="Arial"/>
      <family val="2"/>
    </font>
    <font>
      <sz val="9"/>
      <color indexed="8"/>
      <name val="Arial"/>
      <family val="2"/>
    </font>
    <font>
      <b/>
      <sz val="9"/>
      <color indexed="8"/>
      <name val="Arial"/>
      <family val="2"/>
    </font>
    <font>
      <u/>
      <sz val="10"/>
      <name val="Arial"/>
      <family val="2"/>
    </font>
    <font>
      <b/>
      <u/>
      <sz val="10"/>
      <name val="Arial"/>
      <family val="2"/>
    </font>
    <font>
      <b/>
      <sz val="8"/>
      <color indexed="81"/>
      <name val="Tahoma"/>
      <family val="2"/>
    </font>
    <font>
      <sz val="11"/>
      <color indexed="81"/>
      <name val="Arial"/>
      <family val="2"/>
    </font>
    <font>
      <strike/>
      <sz val="10"/>
      <name val="Arial"/>
      <family val="2"/>
    </font>
    <font>
      <b/>
      <strike/>
      <sz val="10"/>
      <name val="Arial"/>
      <family val="2"/>
    </font>
    <font>
      <b/>
      <u/>
      <sz val="8"/>
      <name val="Arial"/>
      <family val="2"/>
    </font>
    <font>
      <sz val="10"/>
      <color indexed="10"/>
      <name val="Arial"/>
      <family val="2"/>
    </font>
    <font>
      <sz val="10"/>
      <color indexed="10"/>
      <name val="Arial"/>
      <family val="2"/>
    </font>
    <font>
      <sz val="9"/>
      <color indexed="10"/>
      <name val="Arial"/>
      <family val="2"/>
    </font>
    <font>
      <sz val="8"/>
      <name val="Arial"/>
      <family val="2"/>
    </font>
    <font>
      <u/>
      <sz val="8"/>
      <name val="Arial"/>
      <family val="2"/>
    </font>
    <font>
      <strike/>
      <sz val="9"/>
      <name val="Arial"/>
      <family val="2"/>
    </font>
    <font>
      <b/>
      <strike/>
      <sz val="9"/>
      <name val="Arial"/>
      <family val="2"/>
    </font>
    <font>
      <b/>
      <u/>
      <sz val="8"/>
      <color indexed="81"/>
      <name val="Arial"/>
      <family val="2"/>
    </font>
    <font>
      <sz val="10"/>
      <color indexed="10"/>
      <name val="Times New Roman"/>
      <family val="1"/>
    </font>
    <font>
      <sz val="10"/>
      <color rgb="FFFF0000"/>
      <name val="Arial"/>
      <family val="2"/>
    </font>
    <font>
      <sz val="9"/>
      <color indexed="81"/>
      <name val="Tahoma"/>
      <family val="2"/>
    </font>
    <font>
      <b/>
      <i/>
      <sz val="9"/>
      <name val="Arial"/>
      <family val="2"/>
    </font>
    <font>
      <b/>
      <sz val="9"/>
      <color rgb="FFFF0000"/>
      <name val="Arial"/>
      <family val="2"/>
    </font>
    <font>
      <sz val="9"/>
      <color theme="1"/>
      <name val="Arial"/>
      <family val="2"/>
    </font>
    <font>
      <b/>
      <sz val="9"/>
      <color theme="1"/>
      <name val="Arial"/>
      <family val="2"/>
    </font>
    <font>
      <u/>
      <sz val="9"/>
      <color theme="1"/>
      <name val="Arial"/>
      <family val="2"/>
    </font>
    <font>
      <u/>
      <sz val="8"/>
      <color indexed="81"/>
      <name val="Arial"/>
      <family val="2"/>
    </font>
    <font>
      <b/>
      <sz val="12"/>
      <color rgb="FFFF0000"/>
      <name val="Arial"/>
      <family val="2"/>
    </font>
    <font>
      <i/>
      <sz val="9"/>
      <color theme="1"/>
      <name val="Arial"/>
      <family val="2"/>
    </font>
    <font>
      <b/>
      <u/>
      <sz val="9"/>
      <color theme="1"/>
      <name val="Arial"/>
      <family val="2"/>
    </font>
    <font>
      <b/>
      <sz val="9"/>
      <color indexed="10"/>
      <name val="Arial"/>
      <family val="2"/>
    </font>
    <font>
      <sz val="9"/>
      <color rgb="FF0070C0"/>
      <name val="Arial"/>
      <family val="2"/>
    </font>
    <font>
      <sz val="10"/>
      <color indexed="8"/>
      <name val="MS Sans Serif"/>
      <family val="2"/>
    </font>
    <font>
      <b/>
      <sz val="8"/>
      <color indexed="8"/>
      <name val="Times New Roman"/>
      <family val="1"/>
    </font>
    <font>
      <u/>
      <sz val="10"/>
      <name val="Times New Roman"/>
      <family val="1"/>
    </font>
    <font>
      <b/>
      <u/>
      <sz val="10"/>
      <color indexed="81"/>
      <name val="Arial"/>
      <family val="2"/>
    </font>
    <font>
      <b/>
      <sz val="10"/>
      <color rgb="FFFF0000"/>
      <name val="Arial"/>
      <family val="2"/>
    </font>
    <font>
      <b/>
      <u/>
      <sz val="10"/>
      <color rgb="FFFF0000"/>
      <name val="Arial"/>
      <family val="2"/>
    </font>
    <font>
      <b/>
      <sz val="9"/>
      <color indexed="81"/>
      <name val="Tahoma"/>
      <family val="2"/>
    </font>
    <font>
      <b/>
      <u/>
      <sz val="9"/>
      <color indexed="81"/>
      <name val="Arial"/>
      <family val="2"/>
    </font>
    <font>
      <b/>
      <sz val="10"/>
      <name val="Times New Roman"/>
      <family val="1"/>
    </font>
    <font>
      <b/>
      <sz val="10"/>
      <color indexed="10"/>
      <name val="Times New Roman"/>
      <family val="1"/>
    </font>
    <font>
      <sz val="8"/>
      <color rgb="FFFF0000"/>
      <name val="Arial"/>
      <family val="2"/>
    </font>
    <font>
      <strike/>
      <sz val="8"/>
      <name val="Arial"/>
      <family val="2"/>
    </font>
    <font>
      <b/>
      <sz val="11"/>
      <color rgb="FFFF0000"/>
      <name val="Calibri"/>
      <family val="2"/>
      <scheme val="minor"/>
    </font>
    <font>
      <b/>
      <u/>
      <sz val="9"/>
      <color indexed="81"/>
      <name val="Tahoma"/>
      <family val="2"/>
    </font>
    <font>
      <u/>
      <sz val="9"/>
      <color indexed="81"/>
      <name val="Tahoma"/>
      <family val="2"/>
    </font>
    <font>
      <b/>
      <strike/>
      <sz val="9"/>
      <name val="Cambria"/>
      <family val="1"/>
    </font>
    <font>
      <b/>
      <strike/>
      <u/>
      <sz val="9"/>
      <name val="Cambria"/>
      <family val="1"/>
    </font>
    <font>
      <i/>
      <strike/>
      <sz val="9"/>
      <name val="Cambria"/>
      <family val="1"/>
    </font>
    <font>
      <strike/>
      <sz val="9"/>
      <name val="Cambria"/>
      <family val="1"/>
    </font>
    <font>
      <strike/>
      <u/>
      <sz val="9"/>
      <name val="Cambria"/>
      <family val="1"/>
    </font>
    <font>
      <strike/>
      <sz val="10"/>
      <name val="Cambria"/>
      <family val="1"/>
    </font>
    <font>
      <b/>
      <strike/>
      <u/>
      <sz val="9"/>
      <name val="Arial"/>
      <family val="2"/>
    </font>
    <font>
      <sz val="9"/>
      <color rgb="FF0000FF"/>
      <name val="Arial"/>
      <family val="2"/>
    </font>
    <font>
      <sz val="10"/>
      <color indexed="81"/>
      <name val="Tahoma"/>
      <family val="2"/>
    </font>
    <font>
      <u/>
      <sz val="7.5"/>
      <color indexed="12"/>
      <name val="Courier"/>
      <family val="3"/>
    </font>
    <font>
      <b/>
      <u/>
      <sz val="10"/>
      <color indexed="12"/>
      <name val="Times New Roman"/>
      <family val="1"/>
    </font>
  </fonts>
  <fills count="1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8" tint="0.79998168889431442"/>
        <bgColor indexed="64"/>
      </patternFill>
    </fill>
    <fill>
      <patternFill patternType="solid">
        <fgColor rgb="FFFFFF99"/>
        <bgColor indexed="64"/>
      </patternFill>
    </fill>
    <fill>
      <patternFill patternType="solid">
        <fgColor indexed="22"/>
        <bgColor indexed="64"/>
      </patternFill>
    </fill>
    <fill>
      <patternFill patternType="solid">
        <fgColor theme="6" tint="0.39997558519241921"/>
        <bgColor indexed="64"/>
      </patternFill>
    </fill>
    <fill>
      <patternFill patternType="solid">
        <fgColor rgb="FFE0EACC"/>
        <bgColor indexed="64"/>
      </patternFill>
    </fill>
    <fill>
      <patternFill patternType="solid">
        <fgColor theme="6" tint="0.59999389629810485"/>
        <bgColor indexed="64"/>
      </patternFill>
    </fill>
    <fill>
      <patternFill patternType="solid">
        <fgColor theme="4" tint="0.79998168889431442"/>
        <bgColor indexed="64"/>
      </patternFill>
    </fill>
  </fills>
  <borders count="23">
    <border>
      <left/>
      <right/>
      <top/>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s>
  <cellStyleXfs count="43">
    <xf numFmtId="0" fontId="0" fillId="0" borderId="0"/>
    <xf numFmtId="43" fontId="3" fillId="0" borderId="0" applyFont="0" applyFill="0" applyBorder="0" applyAlignment="0" applyProtection="0"/>
    <xf numFmtId="3" fontId="17" fillId="0" borderId="0" applyFont="0" applyFill="0" applyBorder="0" applyAlignment="0" applyProtection="0"/>
    <xf numFmtId="167"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0" fillId="0" borderId="0"/>
    <xf numFmtId="37" fontId="11" fillId="0" borderId="0"/>
    <xf numFmtId="37" fontId="11" fillId="0" borderId="0"/>
    <xf numFmtId="0" fontId="17" fillId="0" borderId="0"/>
    <xf numFmtId="0" fontId="17" fillId="0" borderId="0"/>
    <xf numFmtId="0" fontId="17" fillId="0" borderId="0"/>
    <xf numFmtId="0" fontId="17"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3" fillId="0" borderId="0"/>
    <xf numFmtId="0" fontId="3" fillId="0" borderId="0"/>
    <xf numFmtId="0" fontId="10" fillId="0" borderId="0"/>
    <xf numFmtId="9" fontId="3" fillId="0" borderId="0" applyFont="0" applyFill="0" applyBorder="0" applyAlignment="0" applyProtection="0"/>
    <xf numFmtId="0" fontId="17" fillId="0" borderId="0"/>
    <xf numFmtId="0" fontId="17" fillId="0" borderId="1" applyNumberFormat="0" applyFont="0" applyFill="0" applyAlignment="0" applyProtection="0"/>
    <xf numFmtId="0" fontId="3" fillId="0" borderId="0"/>
    <xf numFmtId="0" fontId="2" fillId="0" borderId="0"/>
    <xf numFmtId="43" fontId="2" fillId="0" borderId="0" applyFont="0" applyFill="0" applyBorder="0" applyAlignment="0" applyProtection="0"/>
    <xf numFmtId="0" fontId="3" fillId="0" borderId="0"/>
    <xf numFmtId="0" fontId="70" fillId="0" borderId="0"/>
    <xf numFmtId="0" fontId="1" fillId="0" borderId="0"/>
    <xf numFmtId="43" fontId="1" fillId="0" borderId="0" applyFont="0" applyFill="0" applyBorder="0" applyAlignment="0" applyProtection="0"/>
    <xf numFmtId="0" fontId="94" fillId="0" borderId="0" applyNumberFormat="0" applyFill="0" applyBorder="0" applyAlignment="0" applyProtection="0">
      <alignment vertical="top"/>
      <protection locked="0"/>
    </xf>
  </cellStyleXfs>
  <cellXfs count="1716">
    <xf numFmtId="0" fontId="0" fillId="0" borderId="0" xfId="0"/>
    <xf numFmtId="0" fontId="4" fillId="0" borderId="0" xfId="0" applyFont="1"/>
    <xf numFmtId="0" fontId="5" fillId="0" borderId="0" xfId="0" applyFont="1" applyAlignment="1">
      <alignment horizontal="left"/>
    </xf>
    <xf numFmtId="3" fontId="5" fillId="0" borderId="0" xfId="1" applyNumberFormat="1" applyFont="1" applyProtection="1"/>
    <xf numFmtId="3" fontId="6" fillId="0" borderId="0" xfId="1" applyNumberFormat="1" applyFont="1" applyAlignment="1" applyProtection="1">
      <alignment horizontal="center"/>
    </xf>
    <xf numFmtId="0" fontId="4" fillId="0" borderId="0" xfId="0" applyFont="1" applyAlignment="1">
      <alignment horizontal="left"/>
    </xf>
    <xf numFmtId="3" fontId="4" fillId="0" borderId="0" xfId="1" applyNumberFormat="1" applyFont="1" applyAlignment="1" applyProtection="1">
      <alignment horizontal="center"/>
    </xf>
    <xf numFmtId="0" fontId="7" fillId="0" borderId="0" xfId="0" applyFont="1" applyAlignment="1">
      <alignment horizontal="center"/>
    </xf>
    <xf numFmtId="164" fontId="4" fillId="0" borderId="0" xfId="0" applyNumberFormat="1" applyFont="1" applyAlignment="1">
      <alignment horizontal="left"/>
    </xf>
    <xf numFmtId="0" fontId="5" fillId="0" borderId="0" xfId="0" applyFont="1" applyAlignment="1">
      <alignment horizontal="center" wrapText="1"/>
    </xf>
    <xf numFmtId="0" fontId="7" fillId="0" borderId="0" xfId="0" applyFont="1"/>
    <xf numFmtId="0" fontId="7" fillId="0" borderId="0" xfId="0" applyFont="1" applyAlignment="1">
      <alignment horizontal="left"/>
    </xf>
    <xf numFmtId="3" fontId="7" fillId="0" borderId="0" xfId="1" applyNumberFormat="1" applyFont="1" applyProtection="1"/>
    <xf numFmtId="165" fontId="7" fillId="0" borderId="0" xfId="1" applyNumberFormat="1" applyFont="1" applyProtection="1"/>
    <xf numFmtId="0" fontId="16" fillId="0" borderId="0" xfId="0" applyFont="1" applyAlignment="1">
      <alignment horizontal="left"/>
    </xf>
    <xf numFmtId="3" fontId="7" fillId="0" borderId="3" xfId="1" applyNumberFormat="1" applyFont="1" applyBorder="1" applyProtection="1"/>
    <xf numFmtId="3" fontId="7" fillId="0" borderId="0" xfId="1" applyNumberFormat="1" applyFont="1" applyFill="1" applyProtection="1"/>
    <xf numFmtId="3" fontId="7" fillId="0" borderId="0" xfId="1" applyNumberFormat="1" applyFont="1" applyBorder="1" applyProtection="1"/>
    <xf numFmtId="0" fontId="24" fillId="0" borderId="0" xfId="0" applyFont="1"/>
    <xf numFmtId="0" fontId="16" fillId="0" borderId="0" xfId="0" applyFont="1" applyAlignment="1">
      <alignment horizontal="left" wrapText="1"/>
    </xf>
    <xf numFmtId="3" fontId="7" fillId="0" borderId="4" xfId="1" applyNumberFormat="1" applyFont="1" applyBorder="1" applyProtection="1"/>
    <xf numFmtId="0" fontId="8" fillId="0" borderId="0" xfId="0" applyFont="1"/>
    <xf numFmtId="15" fontId="4" fillId="0" borderId="0" xfId="0" applyNumberFormat="1" applyFont="1"/>
    <xf numFmtId="165" fontId="5" fillId="0" borderId="0" xfId="1" applyNumberFormat="1" applyFont="1" applyProtection="1"/>
    <xf numFmtId="165" fontId="24" fillId="0" borderId="0" xfId="1" applyNumberFormat="1" applyFont="1" applyProtection="1"/>
    <xf numFmtId="165" fontId="7" fillId="0" borderId="0" xfId="1" applyNumberFormat="1" applyFont="1" applyFill="1" applyProtection="1"/>
    <xf numFmtId="3" fontId="5" fillId="0" borderId="3" xfId="1" applyNumberFormat="1" applyFont="1" applyBorder="1" applyProtection="1"/>
    <xf numFmtId="3" fontId="5" fillId="0" borderId="0" xfId="1" applyNumberFormat="1" applyFont="1" applyFill="1" applyProtection="1"/>
    <xf numFmtId="3" fontId="5" fillId="0" borderId="4" xfId="1" applyNumberFormat="1" applyFont="1" applyBorder="1" applyProtection="1"/>
    <xf numFmtId="3" fontId="7" fillId="2" borderId="5" xfId="1" applyNumberFormat="1" applyFont="1" applyFill="1" applyBorder="1" applyProtection="1">
      <protection locked="0"/>
    </xf>
    <xf numFmtId="3" fontId="5" fillId="2" borderId="5" xfId="1" applyNumberFormat="1" applyFont="1" applyFill="1" applyBorder="1" applyProtection="1">
      <protection locked="0"/>
    </xf>
    <xf numFmtId="38" fontId="7" fillId="0" borderId="0" xfId="28" applyNumberFormat="1" applyFont="1" applyAlignment="1">
      <alignment horizontal="left" vertical="top"/>
    </xf>
    <xf numFmtId="0" fontId="23" fillId="0" borderId="0" xfId="0" applyFont="1" applyAlignment="1">
      <alignment horizontal="left" vertical="top"/>
    </xf>
    <xf numFmtId="0" fontId="7" fillId="0" borderId="0" xfId="28" applyFont="1"/>
    <xf numFmtId="38" fontId="7" fillId="0" borderId="0" xfId="28" applyNumberFormat="1" applyFont="1"/>
    <xf numFmtId="38" fontId="7" fillId="0" borderId="2" xfId="28" applyNumberFormat="1" applyFont="1" applyBorder="1"/>
    <xf numFmtId="0" fontId="7" fillId="0" borderId="2" xfId="28" applyFont="1" applyBorder="1"/>
    <xf numFmtId="38" fontId="7" fillId="0" borderId="0" xfId="28" applyNumberFormat="1" applyFont="1" applyAlignment="1">
      <alignment horizontal="center" wrapText="1"/>
    </xf>
    <xf numFmtId="37" fontId="23" fillId="0" borderId="0" xfId="9" applyFont="1"/>
    <xf numFmtId="0" fontId="31" fillId="0" borderId="0" xfId="14" applyFont="1" applyAlignment="1">
      <alignment horizontal="right"/>
    </xf>
    <xf numFmtId="37" fontId="23" fillId="0" borderId="0" xfId="9" applyFont="1" applyAlignment="1">
      <alignment horizontal="right"/>
    </xf>
    <xf numFmtId="37" fontId="23" fillId="0" borderId="0" xfId="9" quotePrefix="1" applyFont="1"/>
    <xf numFmtId="37" fontId="23" fillId="0" borderId="0" xfId="9" applyFont="1" applyAlignment="1">
      <alignment horizontal="center"/>
    </xf>
    <xf numFmtId="37" fontId="23" fillId="0" borderId="0" xfId="9" applyFont="1" applyAlignment="1">
      <alignment horizontal="left"/>
    </xf>
    <xf numFmtId="37" fontId="23" fillId="0" borderId="0" xfId="9" quotePrefix="1" applyFont="1" applyAlignment="1">
      <alignment horizontal="center"/>
    </xf>
    <xf numFmtId="37" fontId="23" fillId="0" borderId="0" xfId="9" quotePrefix="1" applyFont="1" applyAlignment="1">
      <alignment horizontal="right"/>
    </xf>
    <xf numFmtId="3" fontId="23" fillId="0" borderId="0" xfId="9" applyNumberFormat="1" applyFont="1"/>
    <xf numFmtId="3" fontId="23" fillId="0" borderId="4" xfId="9" applyNumberFormat="1" applyFont="1" applyBorder="1"/>
    <xf numFmtId="168" fontId="23" fillId="0" borderId="0" xfId="9" applyNumberFormat="1" applyFont="1"/>
    <xf numFmtId="168" fontId="23" fillId="0" borderId="0" xfId="9" applyNumberFormat="1" applyFont="1" applyAlignment="1">
      <alignment horizontal="right"/>
    </xf>
    <xf numFmtId="37" fontId="25" fillId="0" borderId="0" xfId="9" applyFont="1"/>
    <xf numFmtId="168" fontId="23" fillId="0" borderId="0" xfId="9" quotePrefix="1" applyNumberFormat="1" applyFont="1" applyAlignment="1">
      <alignment horizontal="right"/>
    </xf>
    <xf numFmtId="168" fontId="23" fillId="0" borderId="0" xfId="9" applyNumberFormat="1" applyFont="1" applyAlignment="1">
      <alignment horizontal="left"/>
    </xf>
    <xf numFmtId="41" fontId="23" fillId="0" borderId="0" xfId="9" quotePrefix="1" applyNumberFormat="1" applyFont="1"/>
    <xf numFmtId="3" fontId="23" fillId="2" borderId="5" xfId="9" quotePrefix="1" applyNumberFormat="1" applyFont="1" applyFill="1" applyBorder="1" applyProtection="1">
      <protection locked="0"/>
    </xf>
    <xf numFmtId="3" fontId="23" fillId="2" borderId="5" xfId="9" applyNumberFormat="1" applyFont="1" applyFill="1" applyBorder="1" applyProtection="1">
      <protection locked="0"/>
    </xf>
    <xf numFmtId="3" fontId="23" fillId="0" borderId="5" xfId="9" quotePrefix="1" applyNumberFormat="1" applyFont="1" applyBorder="1"/>
    <xf numFmtId="3" fontId="23" fillId="0" borderId="4" xfId="9" quotePrefix="1" applyNumberFormat="1" applyFont="1" applyBorder="1"/>
    <xf numFmtId="37" fontId="23" fillId="0" borderId="0" xfId="10" applyFont="1"/>
    <xf numFmtId="37" fontId="23" fillId="0" borderId="0" xfId="10" applyFont="1" applyAlignment="1">
      <alignment horizontal="center"/>
    </xf>
    <xf numFmtId="41" fontId="23" fillId="0" borderId="0" xfId="10" applyNumberFormat="1" applyFont="1"/>
    <xf numFmtId="37" fontId="23" fillId="2" borderId="5" xfId="10" applyFont="1" applyFill="1" applyBorder="1" applyAlignment="1" applyProtection="1">
      <alignment wrapText="1"/>
      <protection locked="0"/>
    </xf>
    <xf numFmtId="3" fontId="23" fillId="0" borderId="0" xfId="10" applyNumberFormat="1" applyFont="1"/>
    <xf numFmtId="3" fontId="23" fillId="2" borderId="5" xfId="10" applyNumberFormat="1" applyFont="1" applyFill="1" applyBorder="1" applyProtection="1">
      <protection locked="0"/>
    </xf>
    <xf numFmtId="0" fontId="23" fillId="0" borderId="0" xfId="0" applyFont="1"/>
    <xf numFmtId="0" fontId="7" fillId="0" borderId="0" xfId="18" applyFont="1" applyAlignment="1">
      <alignment horizontal="left" vertical="top"/>
    </xf>
    <xf numFmtId="38" fontId="7" fillId="0" borderId="0" xfId="28" applyNumberFormat="1" applyFont="1" applyAlignment="1">
      <alignment horizontal="left" vertical="top" wrapText="1"/>
    </xf>
    <xf numFmtId="0" fontId="4" fillId="0" borderId="0" xfId="28" applyFont="1"/>
    <xf numFmtId="37" fontId="7" fillId="0" borderId="0" xfId="28" applyNumberFormat="1" applyFont="1"/>
    <xf numFmtId="0" fontId="7" fillId="0" borderId="0" xfId="28" applyFont="1" applyAlignment="1">
      <alignment wrapText="1"/>
    </xf>
    <xf numFmtId="0" fontId="4" fillId="0" borderId="0" xfId="28" applyFont="1" applyAlignment="1">
      <alignment wrapText="1"/>
    </xf>
    <xf numFmtId="0" fontId="16" fillId="0" borderId="0" xfId="28" applyFont="1"/>
    <xf numFmtId="3" fontId="7" fillId="2" borderId="5" xfId="1" applyNumberFormat="1" applyFont="1" applyFill="1" applyBorder="1" applyAlignment="1" applyProtection="1">
      <alignment horizontal="right"/>
      <protection locked="0"/>
    </xf>
    <xf numFmtId="3" fontId="7" fillId="2" borderId="8" xfId="1" applyNumberFormat="1" applyFont="1" applyFill="1" applyBorder="1" applyAlignment="1" applyProtection="1">
      <alignment horizontal="right"/>
      <protection locked="0"/>
    </xf>
    <xf numFmtId="3" fontId="7" fillId="0" borderId="3" xfId="1" applyNumberFormat="1" applyFont="1" applyBorder="1" applyAlignment="1" applyProtection="1">
      <alignment horizontal="right"/>
    </xf>
    <xf numFmtId="3" fontId="7" fillId="0" borderId="4" xfId="1" applyNumberFormat="1" applyFont="1" applyBorder="1" applyAlignment="1" applyProtection="1">
      <alignment horizontal="right"/>
    </xf>
    <xf numFmtId="0" fontId="4" fillId="0" borderId="0" xfId="16" applyFont="1" applyAlignment="1">
      <alignment horizontal="left"/>
    </xf>
    <xf numFmtId="0" fontId="7" fillId="0" borderId="0" xfId="16" applyFont="1"/>
    <xf numFmtId="0" fontId="13" fillId="0" borderId="0" xfId="26" applyFont="1" applyAlignment="1">
      <alignment vertical="center"/>
    </xf>
    <xf numFmtId="0" fontId="8" fillId="0" borderId="0" xfId="26" applyFont="1" applyAlignment="1">
      <alignment horizontal="centerContinuous" vertical="center"/>
    </xf>
    <xf numFmtId="165" fontId="8" fillId="0" borderId="0" xfId="1" applyNumberFormat="1" applyFont="1" applyAlignment="1" applyProtection="1">
      <alignment horizontal="centerContinuous" vertical="center"/>
    </xf>
    <xf numFmtId="165" fontId="13" fillId="0" borderId="0" xfId="1" applyNumberFormat="1" applyFont="1" applyAlignment="1" applyProtection="1">
      <alignment vertical="center"/>
    </xf>
    <xf numFmtId="165" fontId="13" fillId="0" borderId="0" xfId="1" applyNumberFormat="1" applyFont="1" applyAlignment="1" applyProtection="1">
      <alignment horizontal="centerContinuous" vertical="center"/>
    </xf>
    <xf numFmtId="165" fontId="13" fillId="0" borderId="0" xfId="1" applyNumberFormat="1" applyFont="1" applyBorder="1" applyAlignment="1" applyProtection="1">
      <alignment horizontal="centerContinuous" vertical="center"/>
    </xf>
    <xf numFmtId="165" fontId="13" fillId="0" borderId="2" xfId="1" applyNumberFormat="1" applyFont="1" applyBorder="1" applyAlignment="1" applyProtection="1">
      <alignment horizontal="centerContinuous" vertical="center"/>
    </xf>
    <xf numFmtId="0" fontId="13" fillId="0" borderId="0" xfId="26" applyFont="1"/>
    <xf numFmtId="165" fontId="13" fillId="0" borderId="0" xfId="1" applyNumberFormat="1" applyFont="1" applyProtection="1"/>
    <xf numFmtId="41" fontId="13" fillId="0" borderId="0" xfId="26" applyNumberFormat="1" applyFont="1" applyAlignment="1">
      <alignment horizontal="right"/>
    </xf>
    <xf numFmtId="41" fontId="13" fillId="0" borderId="0" xfId="1" applyNumberFormat="1" applyFont="1" applyAlignment="1" applyProtection="1">
      <alignment horizontal="right"/>
    </xf>
    <xf numFmtId="41" fontId="13" fillId="0" borderId="0" xfId="1" applyNumberFormat="1" applyFont="1" applyFill="1" applyAlignment="1" applyProtection="1">
      <alignment horizontal="right"/>
    </xf>
    <xf numFmtId="41" fontId="13" fillId="0" borderId="0" xfId="1" applyNumberFormat="1" applyFont="1" applyBorder="1" applyAlignment="1" applyProtection="1">
      <alignment horizontal="right"/>
    </xf>
    <xf numFmtId="0" fontId="20" fillId="0" borderId="0" xfId="26" applyFont="1"/>
    <xf numFmtId="165" fontId="13" fillId="0" borderId="0" xfId="1" applyNumberFormat="1" applyFont="1" applyBorder="1" applyAlignment="1" applyProtection="1">
      <alignment horizontal="right"/>
    </xf>
    <xf numFmtId="165" fontId="20" fillId="0" borderId="0" xfId="1" applyNumberFormat="1" applyFont="1" applyBorder="1" applyAlignment="1" applyProtection="1">
      <alignment horizontal="right"/>
    </xf>
    <xf numFmtId="0" fontId="13" fillId="0" borderId="0" xfId="26" quotePrefix="1" applyFont="1" applyAlignment="1">
      <alignment horizontal="left"/>
    </xf>
    <xf numFmtId="0" fontId="13" fillId="0" borderId="0" xfId="26" applyFont="1" applyAlignment="1">
      <alignment horizontal="left"/>
    </xf>
    <xf numFmtId="165" fontId="13" fillId="0" borderId="0" xfId="1" applyNumberFormat="1" applyFont="1" applyFill="1" applyProtection="1"/>
    <xf numFmtId="165" fontId="13" fillId="0" borderId="2" xfId="1" applyNumberFormat="1" applyFont="1" applyBorder="1" applyProtection="1"/>
    <xf numFmtId="165" fontId="20" fillId="0" borderId="0" xfId="1" applyNumberFormat="1" applyFont="1" applyAlignment="1" applyProtection="1">
      <alignment horizontal="right"/>
    </xf>
    <xf numFmtId="0" fontId="13" fillId="0" borderId="9" xfId="26" applyFont="1" applyBorder="1"/>
    <xf numFmtId="0" fontId="8" fillId="0" borderId="0" xfId="26" applyFont="1"/>
    <xf numFmtId="165" fontId="13" fillId="0" borderId="0" xfId="1" applyNumberFormat="1" applyFont="1" applyBorder="1" applyProtection="1"/>
    <xf numFmtId="165" fontId="13" fillId="0" borderId="0" xfId="1" applyNumberFormat="1" applyFont="1" applyFill="1" applyBorder="1" applyProtection="1"/>
    <xf numFmtId="0" fontId="13" fillId="0" borderId="10" xfId="26" applyFont="1" applyBorder="1"/>
    <xf numFmtId="165" fontId="13" fillId="0" borderId="11" xfId="1" applyNumberFormat="1" applyFont="1" applyBorder="1" applyProtection="1"/>
    <xf numFmtId="165" fontId="13" fillId="0" borderId="0" xfId="1" applyNumberFormat="1" applyFont="1" applyBorder="1" applyAlignment="1" applyProtection="1">
      <alignment horizontal="center"/>
    </xf>
    <xf numFmtId="165" fontId="13" fillId="0" borderId="0" xfId="1" quotePrefix="1" applyNumberFormat="1" applyFont="1" applyBorder="1" applyAlignment="1" applyProtection="1">
      <alignment horizontal="right"/>
    </xf>
    <xf numFmtId="165" fontId="13" fillId="0" borderId="0" xfId="1" applyNumberFormat="1" applyFont="1" applyBorder="1" applyAlignment="1" applyProtection="1"/>
    <xf numFmtId="165" fontId="13" fillId="0" borderId="11" xfId="1" applyNumberFormat="1" applyFont="1" applyBorder="1" applyAlignment="1" applyProtection="1"/>
    <xf numFmtId="0" fontId="13" fillId="0" borderId="2" xfId="26" applyFont="1" applyBorder="1"/>
    <xf numFmtId="0" fontId="13" fillId="0" borderId="0" xfId="0" applyFont="1" applyAlignment="1">
      <alignment wrapText="1"/>
    </xf>
    <xf numFmtId="165" fontId="13" fillId="2" borderId="5" xfId="1" applyNumberFormat="1" applyFont="1" applyFill="1" applyBorder="1" applyProtection="1">
      <protection locked="0"/>
    </xf>
    <xf numFmtId="3" fontId="13" fillId="2" borderId="5" xfId="1" applyNumberFormat="1" applyFont="1" applyFill="1" applyBorder="1" applyAlignment="1" applyProtection="1">
      <alignment horizontal="right"/>
      <protection locked="0"/>
    </xf>
    <xf numFmtId="3" fontId="13" fillId="0" borderId="0" xfId="1" applyNumberFormat="1" applyFont="1" applyFill="1" applyAlignment="1" applyProtection="1">
      <alignment horizontal="right"/>
    </xf>
    <xf numFmtId="3" fontId="13" fillId="0" borderId="3" xfId="1" applyNumberFormat="1" applyFont="1" applyBorder="1" applyAlignment="1" applyProtection="1">
      <alignment horizontal="right"/>
    </xf>
    <xf numFmtId="3" fontId="13" fillId="0" borderId="0" xfId="1" applyNumberFormat="1" applyFont="1" applyAlignment="1" applyProtection="1">
      <alignment horizontal="right"/>
    </xf>
    <xf numFmtId="3" fontId="13" fillId="2" borderId="5" xfId="1" applyNumberFormat="1" applyFont="1" applyFill="1" applyBorder="1" applyProtection="1">
      <protection locked="0"/>
    </xf>
    <xf numFmtId="3" fontId="13" fillId="0" borderId="0" xfId="1" applyNumberFormat="1" applyFont="1" applyFill="1" applyProtection="1"/>
    <xf numFmtId="3" fontId="13" fillId="0" borderId="2" xfId="1" applyNumberFormat="1" applyFont="1" applyBorder="1" applyAlignment="1" applyProtection="1">
      <alignment horizontal="right"/>
    </xf>
    <xf numFmtId="3" fontId="13" fillId="0" borderId="2" xfId="1" applyNumberFormat="1" applyFont="1" applyBorder="1" applyProtection="1"/>
    <xf numFmtId="3" fontId="13" fillId="0" borderId="9" xfId="1" applyNumberFormat="1" applyFont="1" applyBorder="1" applyProtection="1"/>
    <xf numFmtId="165" fontId="23" fillId="0" borderId="0" xfId="1" applyNumberFormat="1" applyFont="1" applyProtection="1"/>
    <xf numFmtId="3" fontId="23" fillId="2" borderId="5" xfId="1" applyNumberFormat="1" applyFont="1" applyFill="1" applyBorder="1" applyProtection="1">
      <protection locked="0"/>
    </xf>
    <xf numFmtId="3" fontId="23" fillId="0" borderId="0" xfId="1" applyNumberFormat="1" applyFont="1" applyProtection="1"/>
    <xf numFmtId="3" fontId="23" fillId="0" borderId="4" xfId="1" applyNumberFormat="1" applyFont="1" applyBorder="1" applyProtection="1"/>
    <xf numFmtId="0" fontId="13" fillId="0" borderId="0" xfId="26" applyFont="1" applyAlignment="1">
      <alignment horizontal="left" vertical="top"/>
    </xf>
    <xf numFmtId="0" fontId="23" fillId="0" borderId="0" xfId="16" applyFont="1" applyAlignment="1">
      <alignment horizontal="left" vertical="top" wrapText="1"/>
    </xf>
    <xf numFmtId="165" fontId="8" fillId="0" borderId="0" xfId="1" applyNumberFormat="1" applyFont="1" applyFill="1" applyBorder="1" applyAlignment="1" applyProtection="1">
      <alignment horizontal="centerContinuous" vertical="center"/>
    </xf>
    <xf numFmtId="164" fontId="7" fillId="0" borderId="2" xfId="16" applyNumberFormat="1" applyFont="1" applyBorder="1" applyAlignment="1">
      <alignment horizontal="left"/>
    </xf>
    <xf numFmtId="0" fontId="7" fillId="0" borderId="2" xfId="16" applyFont="1" applyBorder="1"/>
    <xf numFmtId="0" fontId="13" fillId="0" borderId="2" xfId="26" applyFont="1" applyBorder="1" applyAlignment="1">
      <alignment vertical="center"/>
    </xf>
    <xf numFmtId="0" fontId="8" fillId="0" borderId="2" xfId="26" applyFont="1" applyBorder="1" applyAlignment="1">
      <alignment horizontal="centerContinuous" vertical="center"/>
    </xf>
    <xf numFmtId="164" fontId="7" fillId="0" borderId="0" xfId="16" applyNumberFormat="1" applyFont="1" applyAlignment="1">
      <alignment horizontal="left"/>
    </xf>
    <xf numFmtId="0" fontId="25" fillId="0" borderId="0" xfId="16" applyFont="1"/>
    <xf numFmtId="0" fontId="23" fillId="0" borderId="0" xfId="16" applyFont="1"/>
    <xf numFmtId="0" fontId="8" fillId="0" borderId="0" xfId="16" applyFont="1"/>
    <xf numFmtId="0" fontId="26" fillId="0" borderId="0" xfId="16" applyFont="1" applyAlignment="1">
      <alignment horizontal="center"/>
    </xf>
    <xf numFmtId="0" fontId="23" fillId="0" borderId="0" xfId="16" applyFont="1" applyAlignment="1">
      <alignment horizontal="center" wrapText="1"/>
    </xf>
    <xf numFmtId="0" fontId="4" fillId="0" borderId="0" xfId="16" applyFont="1"/>
    <xf numFmtId="0" fontId="39" fillId="0" borderId="0" xfId="11" applyFont="1" applyAlignment="1">
      <alignment horizontal="left"/>
    </xf>
    <xf numFmtId="0" fontId="39" fillId="0" borderId="0" xfId="12" applyFont="1" applyAlignment="1">
      <alignment horizontal="left"/>
    </xf>
    <xf numFmtId="0" fontId="39" fillId="0" borderId="0" xfId="12" applyFont="1"/>
    <xf numFmtId="37" fontId="15" fillId="0" borderId="0" xfId="9" applyFont="1" applyAlignment="1">
      <alignment horizontal="right"/>
    </xf>
    <xf numFmtId="0" fontId="7" fillId="0" borderId="0" xfId="16" applyFont="1" applyAlignment="1">
      <alignment horizontal="right"/>
    </xf>
    <xf numFmtId="0" fontId="7" fillId="0" borderId="0" xfId="16" applyFont="1" applyAlignment="1">
      <alignment horizontal="center"/>
    </xf>
    <xf numFmtId="0" fontId="7" fillId="0" borderId="0" xfId="16" quotePrefix="1" applyFont="1" applyAlignment="1">
      <alignment horizontal="right"/>
    </xf>
    <xf numFmtId="0" fontId="7" fillId="0" borderId="0" xfId="16" applyFont="1" applyAlignment="1">
      <alignment horizontal="right" wrapText="1"/>
    </xf>
    <xf numFmtId="0" fontId="7" fillId="0" borderId="0" xfId="16" applyFont="1" applyAlignment="1">
      <alignment wrapText="1"/>
    </xf>
    <xf numFmtId="0" fontId="27" fillId="0" borderId="0" xfId="13" applyFont="1"/>
    <xf numFmtId="0" fontId="13" fillId="0" borderId="0" xfId="0" applyFont="1"/>
    <xf numFmtId="0" fontId="27" fillId="0" borderId="0" xfId="11" applyFont="1"/>
    <xf numFmtId="0" fontId="28" fillId="0" borderId="0" xfId="13" applyFont="1"/>
    <xf numFmtId="0" fontId="28" fillId="0" borderId="0" xfId="13" applyFont="1" applyAlignment="1">
      <alignment horizontal="center"/>
    </xf>
    <xf numFmtId="0" fontId="7" fillId="0" borderId="2" xfId="16" applyFont="1" applyBorder="1" applyAlignment="1">
      <alignment horizontal="center"/>
    </xf>
    <xf numFmtId="41" fontId="7" fillId="0" borderId="2" xfId="16" applyNumberFormat="1" applyFont="1" applyBorder="1" applyAlignment="1">
      <alignment horizontal="center"/>
    </xf>
    <xf numFmtId="0" fontId="14" fillId="0" borderId="0" xfId="16" applyFont="1" applyAlignment="1">
      <alignment horizontal="center"/>
    </xf>
    <xf numFmtId="41" fontId="13" fillId="0" borderId="0" xfId="16" applyNumberFormat="1" applyFont="1" applyAlignment="1">
      <alignment horizontal="centerContinuous"/>
    </xf>
    <xf numFmtId="0" fontId="23" fillId="0" borderId="0" xfId="16" applyFont="1" applyAlignment="1">
      <alignment horizontal="center"/>
    </xf>
    <xf numFmtId="0" fontId="13" fillId="0" borderId="0" xfId="16" applyFont="1"/>
    <xf numFmtId="0" fontId="23" fillId="0" borderId="0" xfId="16" applyFont="1" applyAlignment="1">
      <alignment horizontal="right"/>
    </xf>
    <xf numFmtId="10" fontId="23" fillId="2" borderId="5" xfId="16" applyNumberFormat="1" applyFont="1" applyFill="1" applyBorder="1" applyProtection="1">
      <protection locked="0"/>
    </xf>
    <xf numFmtId="0" fontId="23" fillId="0" borderId="0" xfId="16" applyFont="1" applyAlignment="1">
      <alignment horizontal="left" vertical="top"/>
    </xf>
    <xf numFmtId="169" fontId="23" fillId="0" borderId="0" xfId="16" applyNumberFormat="1" applyFont="1" applyAlignment="1">
      <alignment horizontal="left" vertical="top"/>
    </xf>
    <xf numFmtId="164" fontId="4" fillId="0" borderId="0" xfId="16" applyNumberFormat="1" applyFont="1" applyAlignment="1">
      <alignment horizontal="left" wrapText="1"/>
    </xf>
    <xf numFmtId="3" fontId="23" fillId="2" borderId="5" xfId="1" applyNumberFormat="1" applyFont="1" applyFill="1" applyBorder="1" applyAlignment="1" applyProtection="1">
      <protection locked="0"/>
    </xf>
    <xf numFmtId="0" fontId="7" fillId="0" borderId="8" xfId="28" applyFont="1" applyBorder="1"/>
    <xf numFmtId="0" fontId="7" fillId="0" borderId="6" xfId="28" applyFont="1" applyBorder="1"/>
    <xf numFmtId="0" fontId="7" fillId="0" borderId="0" xfId="18" applyFont="1"/>
    <xf numFmtId="0" fontId="7" fillId="0" borderId="0" xfId="18" applyFont="1" applyAlignment="1">
      <alignment vertical="top"/>
    </xf>
    <xf numFmtId="0" fontId="7" fillId="0" borderId="0" xfId="18" applyFont="1" applyAlignment="1">
      <alignment vertical="top" wrapText="1"/>
    </xf>
    <xf numFmtId="0" fontId="4" fillId="0" borderId="0" xfId="18" applyFont="1"/>
    <xf numFmtId="0" fontId="7" fillId="0" borderId="5" xfId="18" applyFont="1" applyBorder="1" applyAlignment="1">
      <alignment horizontal="left" vertical="top" wrapText="1"/>
    </xf>
    <xf numFmtId="0" fontId="7" fillId="0" borderId="0" xfId="18" applyFont="1" applyAlignment="1">
      <alignment horizontal="left" vertical="top" wrapText="1"/>
    </xf>
    <xf numFmtId="0" fontId="7" fillId="0" borderId="5" xfId="18" applyFont="1" applyBorder="1" applyAlignment="1">
      <alignment vertical="top" wrapText="1"/>
    </xf>
    <xf numFmtId="0" fontId="4" fillId="0" borderId="14" xfId="18" applyFont="1" applyBorder="1"/>
    <xf numFmtId="0" fontId="4" fillId="0" borderId="15" xfId="18" applyFont="1" applyBorder="1" applyAlignment="1">
      <alignment horizontal="center" vertical="top" wrapText="1"/>
    </xf>
    <xf numFmtId="0" fontId="4" fillId="0" borderId="16" xfId="18" applyFont="1" applyBorder="1" applyAlignment="1">
      <alignment horizontal="center" vertical="top" wrapText="1"/>
    </xf>
    <xf numFmtId="0" fontId="7" fillId="0" borderId="12" xfId="18" applyFont="1" applyBorder="1"/>
    <xf numFmtId="0" fontId="4" fillId="0" borderId="2" xfId="18" applyFont="1" applyBorder="1" applyAlignment="1">
      <alignment horizontal="center" vertical="top" wrapText="1"/>
    </xf>
    <xf numFmtId="0" fontId="4" fillId="0" borderId="13" xfId="18" applyFont="1" applyBorder="1" applyAlignment="1">
      <alignment horizontal="center" vertical="top" wrapText="1"/>
    </xf>
    <xf numFmtId="0" fontId="4" fillId="0" borderId="0" xfId="18" applyFont="1" applyAlignment="1">
      <alignment horizontal="center" vertical="top" wrapText="1"/>
    </xf>
    <xf numFmtId="0" fontId="7" fillId="0" borderId="10" xfId="18" applyFont="1" applyBorder="1"/>
    <xf numFmtId="0" fontId="4" fillId="0" borderId="11" xfId="18" applyFont="1" applyBorder="1" applyAlignment="1">
      <alignment horizontal="center" vertical="top" wrapText="1"/>
    </xf>
    <xf numFmtId="0" fontId="4" fillId="0" borderId="0" xfId="18" applyFont="1" applyAlignment="1">
      <alignment wrapText="1"/>
    </xf>
    <xf numFmtId="0" fontId="34" fillId="0" borderId="0" xfId="0" applyFont="1" applyAlignment="1">
      <alignment wrapText="1"/>
    </xf>
    <xf numFmtId="0" fontId="34" fillId="0" borderId="11" xfId="0" applyFont="1" applyBorder="1" applyAlignment="1">
      <alignment wrapText="1"/>
    </xf>
    <xf numFmtId="0" fontId="34" fillId="2" borderId="8" xfId="0" applyFont="1" applyFill="1" applyBorder="1" applyAlignment="1" applyProtection="1">
      <alignment wrapText="1"/>
      <protection locked="0"/>
    </xf>
    <xf numFmtId="0" fontId="23" fillId="0" borderId="2" xfId="15" applyFont="1" applyBorder="1"/>
    <xf numFmtId="0" fontId="23" fillId="0" borderId="0" xfId="15" applyFont="1"/>
    <xf numFmtId="0" fontId="23" fillId="0" borderId="5" xfId="15" applyFont="1" applyBorder="1" applyAlignment="1">
      <alignment horizontal="center" wrapText="1"/>
    </xf>
    <xf numFmtId="0" fontId="23" fillId="0" borderId="0" xfId="15" applyFont="1" applyAlignment="1">
      <alignment vertical="top"/>
    </xf>
    <xf numFmtId="3" fontId="23" fillId="2" borderId="5" xfId="15" applyNumberFormat="1" applyFont="1" applyFill="1" applyBorder="1" applyProtection="1">
      <protection locked="0"/>
    </xf>
    <xf numFmtId="3" fontId="7" fillId="2" borderId="5" xfId="1" applyNumberFormat="1" applyFont="1" applyFill="1" applyBorder="1" applyProtection="1"/>
    <xf numFmtId="3" fontId="7" fillId="2" borderId="17" xfId="1" applyNumberFormat="1" applyFont="1" applyFill="1" applyBorder="1" applyProtection="1">
      <protection locked="0"/>
    </xf>
    <xf numFmtId="3" fontId="7" fillId="0" borderId="5" xfId="1" applyNumberFormat="1" applyFont="1" applyFill="1" applyBorder="1" applyProtection="1"/>
    <xf numFmtId="3" fontId="5" fillId="2" borderId="5" xfId="1" applyNumberFormat="1" applyFont="1" applyFill="1" applyBorder="1" applyProtection="1"/>
    <xf numFmtId="3" fontId="5" fillId="0" borderId="0" xfId="1" applyNumberFormat="1" applyFont="1" applyFill="1" applyBorder="1" applyProtection="1"/>
    <xf numFmtId="3" fontId="5" fillId="0" borderId="5" xfId="1" applyNumberFormat="1" applyFont="1" applyFill="1" applyBorder="1" applyProtection="1"/>
    <xf numFmtId="3" fontId="7" fillId="0" borderId="5" xfId="1" applyNumberFormat="1" applyFont="1" applyBorder="1" applyProtection="1"/>
    <xf numFmtId="3" fontId="4" fillId="0" borderId="0" xfId="1" applyNumberFormat="1" applyFont="1" applyBorder="1" applyAlignment="1" applyProtection="1">
      <alignment horizontal="center" wrapText="1"/>
    </xf>
    <xf numFmtId="0" fontId="5" fillId="0" borderId="2" xfId="0" applyFont="1" applyBorder="1"/>
    <xf numFmtId="0" fontId="5" fillId="0" borderId="2" xfId="0" applyFont="1" applyBorder="1" applyAlignment="1">
      <alignment horizontal="left"/>
    </xf>
    <xf numFmtId="3" fontId="6" fillId="0" borderId="2" xfId="1" applyNumberFormat="1" applyFont="1" applyBorder="1" applyAlignment="1" applyProtection="1">
      <alignment horizontal="center"/>
    </xf>
    <xf numFmtId="0" fontId="7" fillId="0" borderId="2" xfId="0" applyFont="1" applyBorder="1" applyAlignment="1">
      <alignment horizontal="center"/>
    </xf>
    <xf numFmtId="3" fontId="6" fillId="0" borderId="5" xfId="1" applyNumberFormat="1" applyFont="1" applyBorder="1" applyAlignment="1" applyProtection="1">
      <alignment horizontal="center" wrapText="1"/>
    </xf>
    <xf numFmtId="3" fontId="4" fillId="0" borderId="5" xfId="1" applyNumberFormat="1" applyFont="1" applyBorder="1" applyAlignment="1" applyProtection="1">
      <alignment horizontal="center" wrapText="1"/>
    </xf>
    <xf numFmtId="3" fontId="6" fillId="0" borderId="5" xfId="1" applyNumberFormat="1" applyFont="1" applyBorder="1" applyAlignment="1" applyProtection="1">
      <alignment horizontal="center"/>
    </xf>
    <xf numFmtId="0" fontId="4" fillId="0" borderId="0" xfId="0" applyFont="1" applyAlignment="1">
      <alignment horizontal="right"/>
    </xf>
    <xf numFmtId="3" fontId="4" fillId="0" borderId="0" xfId="1" applyNumberFormat="1" applyFont="1" applyFill="1" applyBorder="1" applyAlignment="1" applyProtection="1">
      <alignment horizontal="center" wrapText="1"/>
    </xf>
    <xf numFmtId="3" fontId="7" fillId="0" borderId="0" xfId="1" applyNumberFormat="1" applyFont="1" applyFill="1" applyBorder="1" applyProtection="1"/>
    <xf numFmtId="165" fontId="5" fillId="0" borderId="0" xfId="1" applyNumberFormat="1" applyFont="1" applyFill="1" applyProtection="1"/>
    <xf numFmtId="0" fontId="5" fillId="0" borderId="0" xfId="0" applyFont="1"/>
    <xf numFmtId="3" fontId="13" fillId="0" borderId="0" xfId="1" applyNumberFormat="1" applyFont="1" applyBorder="1" applyProtection="1"/>
    <xf numFmtId="0" fontId="7" fillId="0" borderId="0" xfId="0" applyFont="1" applyAlignment="1">
      <alignment wrapText="1"/>
    </xf>
    <xf numFmtId="3" fontId="23" fillId="0" borderId="0" xfId="1" applyNumberFormat="1" applyFont="1" applyFill="1" applyProtection="1"/>
    <xf numFmtId="3" fontId="23" fillId="0" borderId="3" xfId="1" applyNumberFormat="1" applyFont="1" applyFill="1" applyBorder="1" applyProtection="1"/>
    <xf numFmtId="3" fontId="23" fillId="0" borderId="2" xfId="1" applyNumberFormat="1" applyFont="1" applyFill="1" applyBorder="1" applyProtection="1"/>
    <xf numFmtId="3" fontId="23" fillId="0" borderId="12" xfId="1" applyNumberFormat="1" applyFont="1" applyFill="1" applyBorder="1" applyProtection="1"/>
    <xf numFmtId="3" fontId="23" fillId="0" borderId="0" xfId="16" applyNumberFormat="1" applyFont="1"/>
    <xf numFmtId="0" fontId="7" fillId="0" borderId="0" xfId="26" applyFont="1"/>
    <xf numFmtId="0" fontId="23" fillId="0" borderId="0" xfId="17" applyFont="1" applyAlignment="1">
      <alignment horizontal="left" vertical="top"/>
    </xf>
    <xf numFmtId="0" fontId="15" fillId="0" borderId="0" xfId="28" applyFont="1"/>
    <xf numFmtId="0" fontId="23" fillId="0" borderId="0" xfId="28" applyFont="1"/>
    <xf numFmtId="38" fontId="23" fillId="0" borderId="0" xfId="28" applyNumberFormat="1" applyFont="1"/>
    <xf numFmtId="37" fontId="23" fillId="0" borderId="0" xfId="10" applyFont="1" applyAlignment="1">
      <alignment horizontal="centerContinuous"/>
    </xf>
    <xf numFmtId="0" fontId="23" fillId="0" borderId="0" xfId="28" applyFont="1" applyAlignment="1">
      <alignment wrapText="1"/>
    </xf>
    <xf numFmtId="37" fontId="23" fillId="0" borderId="0" xfId="10" applyFont="1" applyAlignment="1">
      <alignment horizontal="centerContinuous" wrapText="1"/>
    </xf>
    <xf numFmtId="37" fontId="23" fillId="0" borderId="0" xfId="10" applyFont="1" applyAlignment="1">
      <alignment horizontal="right"/>
    </xf>
    <xf numFmtId="0" fontId="25" fillId="0" borderId="0" xfId="28" applyFont="1"/>
    <xf numFmtId="37" fontId="23" fillId="0" borderId="0" xfId="10" applyFont="1" applyAlignment="1">
      <alignment horizontal="center" wrapText="1"/>
    </xf>
    <xf numFmtId="0" fontId="23" fillId="0" borderId="0" xfId="28" applyFont="1" applyAlignment="1">
      <alignment horizontal="center"/>
    </xf>
    <xf numFmtId="3" fontId="23" fillId="0" borderId="5" xfId="10" applyNumberFormat="1" applyFont="1" applyBorder="1"/>
    <xf numFmtId="3" fontId="23" fillId="0" borderId="18" xfId="10" applyNumberFormat="1" applyFont="1" applyBorder="1"/>
    <xf numFmtId="37" fontId="23" fillId="0" borderId="17" xfId="10" applyFont="1" applyBorder="1"/>
    <xf numFmtId="0" fontId="23" fillId="0" borderId="0" xfId="26" applyFont="1"/>
    <xf numFmtId="3" fontId="23" fillId="0" borderId="5" xfId="28" applyNumberFormat="1" applyFont="1" applyBorder="1"/>
    <xf numFmtId="0" fontId="23" fillId="0" borderId="0" xfId="26" applyFont="1" applyAlignment="1">
      <alignment horizontal="left"/>
    </xf>
    <xf numFmtId="3" fontId="13" fillId="0" borderId="0" xfId="1" applyNumberFormat="1" applyFont="1" applyProtection="1"/>
    <xf numFmtId="37" fontId="23" fillId="0" borderId="0" xfId="10" applyFont="1" applyAlignment="1">
      <alignment wrapText="1"/>
    </xf>
    <xf numFmtId="37" fontId="23" fillId="0" borderId="0" xfId="10" quotePrefix="1" applyFont="1" applyAlignment="1">
      <alignment horizontal="right"/>
    </xf>
    <xf numFmtId="3" fontId="23" fillId="0" borderId="5" xfId="1" applyNumberFormat="1" applyFont="1" applyBorder="1" applyProtection="1"/>
    <xf numFmtId="0" fontId="23" fillId="0" borderId="0" xfId="16" applyFont="1" applyAlignment="1">
      <alignment wrapText="1"/>
    </xf>
    <xf numFmtId="0" fontId="10" fillId="0" borderId="0" xfId="22"/>
    <xf numFmtId="3" fontId="10" fillId="2" borderId="5" xfId="22" applyNumberFormat="1" applyFill="1" applyBorder="1" applyProtection="1">
      <protection locked="0"/>
    </xf>
    <xf numFmtId="0" fontId="34" fillId="0" borderId="0" xfId="24" applyFont="1" applyAlignment="1">
      <alignment wrapText="1"/>
    </xf>
    <xf numFmtId="3" fontId="23" fillId="2" borderId="8" xfId="10" applyNumberFormat="1" applyFont="1" applyFill="1" applyBorder="1" applyProtection="1">
      <protection locked="0"/>
    </xf>
    <xf numFmtId="3" fontId="13" fillId="0" borderId="3" xfId="1" applyNumberFormat="1" applyFont="1" applyFill="1" applyBorder="1" applyAlignment="1" applyProtection="1">
      <alignment horizontal="right"/>
    </xf>
    <xf numFmtId="3" fontId="13" fillId="0" borderId="0" xfId="1" applyNumberFormat="1" applyFont="1" applyFill="1" applyBorder="1" applyAlignment="1" applyProtection="1">
      <alignment horizontal="right"/>
    </xf>
    <xf numFmtId="3" fontId="13" fillId="0" borderId="0" xfId="1" applyNumberFormat="1" applyFont="1" applyBorder="1" applyAlignment="1" applyProtection="1">
      <alignment horizontal="right"/>
    </xf>
    <xf numFmtId="0" fontId="15" fillId="0" borderId="2" xfId="28" applyFont="1" applyBorder="1"/>
    <xf numFmtId="37" fontId="23" fillId="0" borderId="7" xfId="10" applyFont="1" applyBorder="1"/>
    <xf numFmtId="0" fontId="23" fillId="0" borderId="17" xfId="28" applyFont="1" applyBorder="1" applyAlignment="1">
      <alignment wrapText="1"/>
    </xf>
    <xf numFmtId="38" fontId="23" fillId="0" borderId="7" xfId="28" applyNumberFormat="1" applyFont="1" applyBorder="1"/>
    <xf numFmtId="3" fontId="6" fillId="0" borderId="0" xfId="1" applyNumberFormat="1" applyFont="1" applyBorder="1" applyAlignment="1" applyProtection="1">
      <alignment horizontal="center"/>
    </xf>
    <xf numFmtId="3" fontId="23" fillId="2" borderId="17" xfId="10" applyNumberFormat="1" applyFont="1" applyFill="1" applyBorder="1" applyProtection="1">
      <protection locked="0"/>
    </xf>
    <xf numFmtId="37" fontId="23" fillId="0" borderId="5" xfId="10" applyFont="1" applyBorder="1"/>
    <xf numFmtId="37" fontId="23" fillId="0" borderId="16" xfId="10" applyFont="1" applyBorder="1"/>
    <xf numFmtId="37" fontId="23" fillId="0" borderId="13" xfId="10" applyFont="1" applyBorder="1"/>
    <xf numFmtId="3" fontId="13" fillId="0" borderId="5" xfId="1" applyNumberFormat="1" applyFont="1" applyBorder="1" applyAlignment="1" applyProtection="1">
      <alignment horizontal="right"/>
    </xf>
    <xf numFmtId="0" fontId="23" fillId="0" borderId="17" xfId="16" applyFont="1" applyBorder="1" applyAlignment="1">
      <alignment wrapText="1"/>
    </xf>
    <xf numFmtId="0" fontId="10" fillId="0" borderId="7" xfId="22" applyBorder="1" applyAlignment="1">
      <alignment wrapText="1"/>
    </xf>
    <xf numFmtId="0" fontId="23" fillId="0" borderId="0" xfId="18" applyFont="1" applyAlignment="1">
      <alignment vertical="top" wrapText="1"/>
    </xf>
    <xf numFmtId="0" fontId="23" fillId="0" borderId="0" xfId="24" applyFont="1" applyAlignment="1">
      <alignment wrapText="1"/>
    </xf>
    <xf numFmtId="0" fontId="4" fillId="0" borderId="2" xfId="28" applyFont="1" applyBorder="1"/>
    <xf numFmtId="3" fontId="7" fillId="2" borderId="17" xfId="1" applyNumberFormat="1" applyFont="1" applyFill="1" applyBorder="1" applyProtection="1"/>
    <xf numFmtId="3" fontId="7" fillId="0" borderId="0" xfId="1" applyNumberFormat="1" applyFont="1" applyFill="1" applyBorder="1" applyAlignment="1" applyProtection="1">
      <alignment wrapText="1"/>
    </xf>
    <xf numFmtId="0" fontId="5" fillId="0" borderId="0" xfId="0" applyFont="1" applyAlignment="1">
      <alignment horizontal="center"/>
    </xf>
    <xf numFmtId="169" fontId="4" fillId="0" borderId="17" xfId="1" applyNumberFormat="1" applyFont="1" applyFill="1" applyBorder="1" applyAlignment="1" applyProtection="1">
      <alignment horizontal="center" wrapText="1"/>
    </xf>
    <xf numFmtId="3" fontId="6" fillId="0" borderId="0" xfId="1" applyNumberFormat="1" applyFont="1" applyFill="1" applyBorder="1" applyAlignment="1" applyProtection="1">
      <alignment horizontal="center" wrapText="1"/>
    </xf>
    <xf numFmtId="3" fontId="6" fillId="0" borderId="8" xfId="1" applyNumberFormat="1" applyFont="1" applyFill="1" applyBorder="1" applyAlignment="1" applyProtection="1">
      <alignment horizontal="center" wrapText="1"/>
    </xf>
    <xf numFmtId="3" fontId="4" fillId="0" borderId="6" xfId="1" applyNumberFormat="1" applyFont="1" applyFill="1" applyBorder="1" applyAlignment="1" applyProtection="1">
      <alignment horizontal="center" wrapText="1"/>
    </xf>
    <xf numFmtId="3" fontId="6" fillId="0" borderId="14" xfId="1" applyNumberFormat="1" applyFont="1" applyFill="1" applyBorder="1" applyAlignment="1" applyProtection="1">
      <alignment horizontal="center" wrapText="1"/>
    </xf>
    <xf numFmtId="3" fontId="4" fillId="0" borderId="12" xfId="1" applyNumberFormat="1" applyFont="1" applyFill="1" applyBorder="1" applyAlignment="1" applyProtection="1">
      <alignment horizontal="center" wrapText="1"/>
    </xf>
    <xf numFmtId="169" fontId="0" fillId="0" borderId="0" xfId="0" applyNumberFormat="1"/>
    <xf numFmtId="0" fontId="7" fillId="0" borderId="0" xfId="0" applyFont="1" applyAlignment="1">
      <alignment horizontal="right"/>
    </xf>
    <xf numFmtId="3" fontId="5" fillId="0" borderId="0" xfId="1" applyNumberFormat="1" applyFont="1" applyAlignment="1" applyProtection="1">
      <alignment horizontal="center"/>
    </xf>
    <xf numFmtId="3" fontId="7" fillId="0" borderId="0" xfId="1" applyNumberFormat="1" applyFont="1" applyAlignment="1" applyProtection="1">
      <alignment horizontal="right"/>
    </xf>
    <xf numFmtId="3" fontId="13" fillId="0" borderId="5" xfId="1" applyNumberFormat="1" applyFont="1" applyFill="1" applyBorder="1" applyAlignment="1" applyProtection="1">
      <alignment horizontal="right"/>
    </xf>
    <xf numFmtId="3" fontId="13" fillId="0" borderId="5" xfId="1" applyNumberFormat="1" applyFont="1" applyFill="1" applyBorder="1" applyProtection="1"/>
    <xf numFmtId="3" fontId="13" fillId="0" borderId="0" xfId="1" applyNumberFormat="1" applyFont="1" applyFill="1" applyBorder="1" applyProtection="1"/>
    <xf numFmtId="3" fontId="23" fillId="0" borderId="0" xfId="1" applyNumberFormat="1" applyFont="1" applyFill="1" applyBorder="1" applyProtection="1"/>
    <xf numFmtId="3" fontId="23" fillId="0" borderId="5" xfId="1" applyNumberFormat="1" applyFont="1" applyFill="1" applyBorder="1" applyProtection="1"/>
    <xf numFmtId="0" fontId="7" fillId="0" borderId="8" xfId="28" applyFont="1" applyBorder="1" applyAlignment="1">
      <alignment horizontal="center"/>
    </xf>
    <xf numFmtId="0" fontId="7" fillId="0" borderId="6" xfId="28" applyFont="1" applyBorder="1" applyAlignment="1">
      <alignment horizontal="center"/>
    </xf>
    <xf numFmtId="0" fontId="10" fillId="0" borderId="0" xfId="20"/>
    <xf numFmtId="0" fontId="23" fillId="0" borderId="0" xfId="17" applyFont="1"/>
    <xf numFmtId="169" fontId="23" fillId="0" borderId="0" xfId="17" applyNumberFormat="1" applyFont="1"/>
    <xf numFmtId="0" fontId="23" fillId="2" borderId="5" xfId="28" applyFont="1" applyFill="1" applyBorder="1" applyAlignment="1" applyProtection="1">
      <alignment horizontal="center" wrapText="1"/>
      <protection locked="0"/>
    </xf>
    <xf numFmtId="3" fontId="23" fillId="2" borderId="5" xfId="28" applyNumberFormat="1" applyFont="1" applyFill="1" applyBorder="1" applyProtection="1">
      <protection locked="0"/>
    </xf>
    <xf numFmtId="0" fontId="10" fillId="0" borderId="14" xfId="27" applyBorder="1" applyAlignment="1">
      <alignment wrapText="1"/>
    </xf>
    <xf numFmtId="3" fontId="23" fillId="2" borderId="17" xfId="28" applyNumberFormat="1" applyFont="1" applyFill="1" applyBorder="1" applyProtection="1">
      <protection locked="0"/>
    </xf>
    <xf numFmtId="3" fontId="23" fillId="2" borderId="16" xfId="10" applyNumberFormat="1" applyFont="1" applyFill="1" applyBorder="1" applyProtection="1">
      <protection locked="0"/>
    </xf>
    <xf numFmtId="10" fontId="23" fillId="2" borderId="5" xfId="10" applyNumberFormat="1" applyFont="1" applyFill="1" applyBorder="1" applyAlignment="1" applyProtection="1">
      <alignment wrapText="1"/>
      <protection locked="0"/>
    </xf>
    <xf numFmtId="0" fontId="10" fillId="0" borderId="0" xfId="19"/>
    <xf numFmtId="37" fontId="23" fillId="2" borderId="5" xfId="10" applyFont="1" applyFill="1" applyBorder="1" applyProtection="1">
      <protection locked="0"/>
    </xf>
    <xf numFmtId="0" fontId="10" fillId="0" borderId="0" xfId="23"/>
    <xf numFmtId="0" fontId="25" fillId="0" borderId="0" xfId="23" applyFont="1"/>
    <xf numFmtId="3" fontId="10" fillId="0" borderId="0" xfId="23" applyNumberFormat="1" applyAlignment="1">
      <alignment horizontal="right"/>
    </xf>
    <xf numFmtId="3" fontId="10" fillId="0" borderId="4" xfId="1" applyNumberFormat="1" applyFont="1" applyBorder="1" applyProtection="1"/>
    <xf numFmtId="3" fontId="10" fillId="0" borderId="0" xfId="1" applyNumberFormat="1" applyFont="1" applyBorder="1" applyProtection="1"/>
    <xf numFmtId="0" fontId="10" fillId="0" borderId="0" xfId="23" applyAlignment="1">
      <alignment horizontal="right"/>
    </xf>
    <xf numFmtId="3" fontId="10" fillId="0" borderId="4" xfId="23" applyNumberFormat="1" applyBorder="1"/>
    <xf numFmtId="3" fontId="10" fillId="2" borderId="5" xfId="23" applyNumberFormat="1" applyFill="1" applyBorder="1" applyAlignment="1" applyProtection="1">
      <alignment wrapText="1"/>
      <protection locked="0"/>
    </xf>
    <xf numFmtId="3" fontId="23" fillId="0" borderId="19" xfId="10" applyNumberFormat="1" applyFont="1" applyBorder="1"/>
    <xf numFmtId="3" fontId="10" fillId="2" borderId="5" xfId="1" applyNumberFormat="1" applyFont="1" applyFill="1" applyBorder="1" applyAlignment="1" applyProtection="1">
      <alignment wrapText="1"/>
      <protection locked="0"/>
    </xf>
    <xf numFmtId="0" fontId="10" fillId="0" borderId="2" xfId="31" applyBorder="1"/>
    <xf numFmtId="0" fontId="10" fillId="0" borderId="0" xfId="31"/>
    <xf numFmtId="0" fontId="23" fillId="0" borderId="0" xfId="31" applyFont="1"/>
    <xf numFmtId="3" fontId="10" fillId="0" borderId="4" xfId="31" applyNumberFormat="1" applyBorder="1"/>
    <xf numFmtId="3" fontId="10" fillId="0" borderId="0" xfId="31" applyNumberFormat="1"/>
    <xf numFmtId="3" fontId="10" fillId="2" borderId="5" xfId="31" applyNumberFormat="1" applyFill="1" applyBorder="1" applyAlignment="1" applyProtection="1">
      <alignment wrapText="1"/>
      <protection locked="0"/>
    </xf>
    <xf numFmtId="0" fontId="7" fillId="2" borderId="6" xfId="18" applyFont="1" applyFill="1" applyBorder="1" applyAlignment="1" applyProtection="1">
      <alignment horizontal="center" vertical="top" wrapText="1"/>
      <protection locked="0"/>
    </xf>
    <xf numFmtId="37" fontId="13" fillId="0" borderId="5" xfId="10" applyFont="1" applyBorder="1" applyAlignment="1">
      <alignment horizontal="center" wrapText="1"/>
    </xf>
    <xf numFmtId="37" fontId="7" fillId="0" borderId="5" xfId="10" applyFont="1" applyBorder="1" applyAlignment="1">
      <alignment horizontal="center" wrapText="1"/>
    </xf>
    <xf numFmtId="3" fontId="13" fillId="0" borderId="5" xfId="28" applyNumberFormat="1" applyFont="1" applyBorder="1"/>
    <xf numFmtId="3" fontId="10" fillId="2" borderId="5" xfId="23" applyNumberFormat="1" applyFill="1" applyBorder="1" applyAlignment="1" applyProtection="1">
      <alignment horizontal="right" wrapText="1"/>
      <protection locked="0"/>
    </xf>
    <xf numFmtId="3" fontId="23" fillId="0" borderId="0" xfId="9" quotePrefix="1" applyNumberFormat="1" applyFont="1"/>
    <xf numFmtId="3" fontId="23" fillId="0" borderId="8" xfId="9" quotePrefix="1" applyNumberFormat="1" applyFont="1" applyBorder="1"/>
    <xf numFmtId="3" fontId="23" fillId="0" borderId="5" xfId="9" applyNumberFormat="1" applyFont="1" applyBorder="1"/>
    <xf numFmtId="3" fontId="23" fillId="0" borderId="3" xfId="9" quotePrefix="1" applyNumberFormat="1" applyFont="1" applyBorder="1"/>
    <xf numFmtId="3" fontId="7" fillId="2" borderId="5" xfId="18" applyNumberFormat="1" applyFont="1" applyFill="1" applyBorder="1" applyAlignment="1" applyProtection="1">
      <alignment vertical="top"/>
      <protection locked="0"/>
    </xf>
    <xf numFmtId="3" fontId="7" fillId="0" borderId="4" xfId="18" applyNumberFormat="1" applyFont="1" applyBorder="1" applyAlignment="1">
      <alignment vertical="top"/>
    </xf>
    <xf numFmtId="0" fontId="23" fillId="0" borderId="0" xfId="15" applyFont="1" applyAlignment="1">
      <alignment horizontal="center"/>
    </xf>
    <xf numFmtId="37" fontId="23" fillId="0" borderId="12" xfId="10" applyFont="1" applyBorder="1" applyAlignment="1">
      <alignment wrapText="1"/>
    </xf>
    <xf numFmtId="37" fontId="23" fillId="3" borderId="0" xfId="10" applyFont="1" applyFill="1"/>
    <xf numFmtId="37" fontId="45" fillId="0" borderId="0" xfId="9" applyFont="1"/>
    <xf numFmtId="37" fontId="45" fillId="0" borderId="0" xfId="9" applyFont="1" applyAlignment="1">
      <alignment horizontal="right"/>
    </xf>
    <xf numFmtId="38" fontId="23" fillId="0" borderId="0" xfId="28" applyNumberFormat="1" applyFont="1" applyAlignment="1">
      <alignment horizontal="center" wrapText="1"/>
    </xf>
    <xf numFmtId="3" fontId="7" fillId="0" borderId="0" xfId="1" applyNumberFormat="1" applyFont="1" applyFill="1" applyBorder="1" applyAlignment="1" applyProtection="1">
      <alignment horizontal="right"/>
    </xf>
    <xf numFmtId="0" fontId="7" fillId="0" borderId="20" xfId="28" applyFont="1" applyBorder="1"/>
    <xf numFmtId="38" fontId="7" fillId="0" borderId="20" xfId="28" applyNumberFormat="1" applyFont="1" applyBorder="1"/>
    <xf numFmtId="165" fontId="5" fillId="0" borderId="0" xfId="1" applyNumberFormat="1" applyFont="1" applyFill="1" applyBorder="1" applyProtection="1"/>
    <xf numFmtId="37" fontId="45" fillId="0" borderId="0" xfId="10" applyFont="1"/>
    <xf numFmtId="0" fontId="7" fillId="0" borderId="0" xfId="0" applyFont="1" applyAlignment="1">
      <alignment vertical="top" wrapText="1"/>
    </xf>
    <xf numFmtId="165" fontId="7" fillId="0" borderId="0" xfId="1" applyNumberFormat="1" applyFont="1" applyAlignment="1" applyProtection="1">
      <alignment vertical="top" wrapText="1"/>
    </xf>
    <xf numFmtId="0" fontId="14" fillId="0" borderId="0" xfId="26" applyFont="1"/>
    <xf numFmtId="165" fontId="13" fillId="0" borderId="0" xfId="1" applyNumberFormat="1" applyFont="1" applyAlignment="1" applyProtection="1">
      <alignment horizontal="right"/>
    </xf>
    <xf numFmtId="165" fontId="13" fillId="0" borderId="0" xfId="1" applyNumberFormat="1" applyFont="1" applyAlignment="1" applyProtection="1">
      <alignment horizontal="center" wrapText="1"/>
    </xf>
    <xf numFmtId="0" fontId="13" fillId="0" borderId="0" xfId="26" applyFont="1" applyAlignment="1">
      <alignment horizontal="right"/>
    </xf>
    <xf numFmtId="165" fontId="13" fillId="0" borderId="0" xfId="1" applyNumberFormat="1" applyFont="1" applyFill="1" applyAlignment="1" applyProtection="1">
      <alignment horizontal="right"/>
    </xf>
    <xf numFmtId="3" fontId="7" fillId="0" borderId="5" xfId="1" applyNumberFormat="1" applyFont="1" applyBorder="1" applyAlignment="1" applyProtection="1">
      <alignment horizontal="center" wrapText="1"/>
    </xf>
    <xf numFmtId="3" fontId="13" fillId="0" borderId="8" xfId="1" applyNumberFormat="1" applyFont="1" applyFill="1" applyBorder="1" applyAlignment="1" applyProtection="1">
      <alignment horizontal="right"/>
    </xf>
    <xf numFmtId="3" fontId="13" fillId="0" borderId="6" xfId="1" applyNumberFormat="1" applyFont="1" applyFill="1" applyBorder="1" applyAlignment="1" applyProtection="1">
      <alignment horizontal="right"/>
    </xf>
    <xf numFmtId="0" fontId="13" fillId="0" borderId="0" xfId="26" applyFont="1" applyAlignment="1">
      <alignment horizontal="center" wrapText="1"/>
    </xf>
    <xf numFmtId="169" fontId="23" fillId="0" borderId="0" xfId="10" applyNumberFormat="1" applyFont="1" applyAlignment="1">
      <alignment horizontal="center" wrapText="1"/>
    </xf>
    <xf numFmtId="37" fontId="7" fillId="0" borderId="17" xfId="10" applyFont="1" applyBorder="1" applyAlignment="1">
      <alignment horizontal="center" wrapText="1"/>
    </xf>
    <xf numFmtId="37" fontId="45" fillId="3" borderId="0" xfId="10" applyFont="1" applyFill="1"/>
    <xf numFmtId="37" fontId="45" fillId="3" borderId="0" xfId="10" applyFont="1" applyFill="1" applyAlignment="1">
      <alignment horizontal="right"/>
    </xf>
    <xf numFmtId="37" fontId="45" fillId="3" borderId="2" xfId="10" applyFont="1" applyFill="1" applyBorder="1" applyAlignment="1">
      <alignment horizontal="center"/>
    </xf>
    <xf numFmtId="3" fontId="45" fillId="3" borderId="5" xfId="10" applyNumberFormat="1" applyFont="1" applyFill="1" applyBorder="1"/>
    <xf numFmtId="3" fontId="45" fillId="3" borderId="0" xfId="10" applyNumberFormat="1" applyFont="1" applyFill="1"/>
    <xf numFmtId="3" fontId="45" fillId="3" borderId="18" xfId="10" applyNumberFormat="1" applyFont="1" applyFill="1" applyBorder="1"/>
    <xf numFmtId="165" fontId="13" fillId="0" borderId="0" xfId="1" applyNumberFormat="1" applyFont="1" applyFill="1" applyBorder="1" applyAlignment="1" applyProtection="1">
      <alignment horizontal="center"/>
    </xf>
    <xf numFmtId="165" fontId="20" fillId="0" borderId="0" xfId="1" applyNumberFormat="1" applyFont="1" applyFill="1" applyBorder="1" applyProtection="1"/>
    <xf numFmtId="0" fontId="13" fillId="2" borderId="5" xfId="26" applyFont="1" applyFill="1" applyBorder="1" applyProtection="1">
      <protection locked="0"/>
    </xf>
    <xf numFmtId="0" fontId="45" fillId="3" borderId="5" xfId="20" applyFont="1" applyFill="1" applyBorder="1" applyAlignment="1">
      <alignment wrapText="1"/>
    </xf>
    <xf numFmtId="37" fontId="45" fillId="3" borderId="5" xfId="10" applyFont="1" applyFill="1" applyBorder="1" applyAlignment="1">
      <alignment wrapText="1"/>
    </xf>
    <xf numFmtId="3" fontId="45" fillId="3" borderId="17" xfId="10" applyNumberFormat="1" applyFont="1" applyFill="1" applyBorder="1"/>
    <xf numFmtId="38" fontId="23" fillId="2" borderId="5" xfId="28" applyNumberFormat="1" applyFont="1" applyFill="1" applyBorder="1" applyAlignment="1" applyProtection="1">
      <alignment wrapText="1"/>
      <protection locked="0"/>
    </xf>
    <xf numFmtId="3" fontId="23" fillId="0" borderId="18" xfId="10" applyNumberFormat="1" applyFont="1" applyBorder="1" applyAlignment="1">
      <alignment horizontal="right"/>
    </xf>
    <xf numFmtId="37" fontId="23" fillId="0" borderId="3" xfId="10" applyFont="1" applyBorder="1"/>
    <xf numFmtId="3" fontId="23" fillId="0" borderId="0" xfId="28" applyNumberFormat="1" applyFont="1"/>
    <xf numFmtId="37" fontId="23" fillId="0" borderId="5" xfId="10" applyFont="1" applyBorder="1" applyAlignment="1">
      <alignment horizontal="center"/>
    </xf>
    <xf numFmtId="3" fontId="13" fillId="0" borderId="5" xfId="1" applyNumberFormat="1" applyFont="1" applyBorder="1" applyProtection="1"/>
    <xf numFmtId="3" fontId="13" fillId="0" borderId="17" xfId="28" applyNumberFormat="1" applyFont="1" applyBorder="1"/>
    <xf numFmtId="0" fontId="25" fillId="0" borderId="0" xfId="26" applyFont="1"/>
    <xf numFmtId="37" fontId="46" fillId="3" borderId="0" xfId="10" applyFont="1" applyFill="1"/>
    <xf numFmtId="37" fontId="45" fillId="3" borderId="0" xfId="10" applyFont="1" applyFill="1" applyAlignment="1">
      <alignment wrapText="1"/>
    </xf>
    <xf numFmtId="3" fontId="23" fillId="2" borderId="7" xfId="10" applyNumberFormat="1" applyFont="1" applyFill="1" applyBorder="1" applyProtection="1">
      <protection locked="0"/>
    </xf>
    <xf numFmtId="3" fontId="23" fillId="0" borderId="0" xfId="10" applyNumberFormat="1" applyFont="1" applyAlignment="1">
      <alignment horizontal="right"/>
    </xf>
    <xf numFmtId="0" fontId="46" fillId="3" borderId="0" xfId="28" applyFont="1" applyFill="1"/>
    <xf numFmtId="38" fontId="45" fillId="3" borderId="0" xfId="28" applyNumberFormat="1" applyFont="1" applyFill="1"/>
    <xf numFmtId="0" fontId="45" fillId="3" borderId="0" xfId="28" applyFont="1" applyFill="1"/>
    <xf numFmtId="0" fontId="45" fillId="3" borderId="0" xfId="28" applyFont="1" applyFill="1" applyAlignment="1">
      <alignment wrapText="1"/>
    </xf>
    <xf numFmtId="0" fontId="45" fillId="3" borderId="5" xfId="28" applyFont="1" applyFill="1" applyBorder="1" applyAlignment="1">
      <alignment wrapText="1"/>
    </xf>
    <xf numFmtId="37" fontId="45" fillId="3" borderId="5" xfId="10" applyFont="1" applyFill="1" applyBorder="1"/>
    <xf numFmtId="10" fontId="45" fillId="3" borderId="5" xfId="10" applyNumberFormat="1" applyFont="1" applyFill="1" applyBorder="1" applyAlignment="1">
      <alignment wrapText="1"/>
    </xf>
    <xf numFmtId="164" fontId="4" fillId="0" borderId="0" xfId="16" applyNumberFormat="1" applyFont="1" applyAlignment="1">
      <alignment horizontal="left" vertical="top"/>
    </xf>
    <xf numFmtId="0" fontId="13" fillId="0" borderId="0" xfId="26" applyFont="1" applyAlignment="1">
      <alignment vertical="top"/>
    </xf>
    <xf numFmtId="0" fontId="23" fillId="0" borderId="0" xfId="16" applyFont="1" applyAlignment="1">
      <alignment vertical="top"/>
    </xf>
    <xf numFmtId="0" fontId="16" fillId="0" borderId="0" xfId="0" applyFont="1" applyAlignment="1">
      <alignment horizontal="center"/>
    </xf>
    <xf numFmtId="0" fontId="4" fillId="0" borderId="0" xfId="0" applyFont="1" applyAlignment="1">
      <alignment vertical="top" wrapText="1"/>
    </xf>
    <xf numFmtId="0" fontId="23" fillId="0" borderId="0" xfId="0" applyFont="1" applyAlignment="1">
      <alignment horizontal="center" vertical="top"/>
    </xf>
    <xf numFmtId="0" fontId="7" fillId="0" borderId="0" xfId="28" applyFont="1" applyAlignment="1">
      <alignment horizontal="center"/>
    </xf>
    <xf numFmtId="170" fontId="23" fillId="0" borderId="0" xfId="0" applyNumberFormat="1" applyFont="1"/>
    <xf numFmtId="0" fontId="23" fillId="0" borderId="0" xfId="0" applyFont="1" applyAlignment="1">
      <alignment vertical="top" wrapText="1"/>
    </xf>
    <xf numFmtId="0" fontId="23" fillId="0" borderId="0" xfId="0" applyFont="1" applyAlignment="1">
      <alignment horizontal="center" vertical="top" wrapText="1"/>
    </xf>
    <xf numFmtId="0" fontId="23" fillId="0" borderId="5" xfId="0" applyFont="1" applyBorder="1" applyAlignment="1">
      <alignment horizontal="center" vertical="top" wrapText="1"/>
    </xf>
    <xf numFmtId="0" fontId="23" fillId="0" borderId="17" xfId="0" applyFont="1" applyBorder="1" applyAlignment="1">
      <alignment horizontal="center" vertical="top" wrapText="1"/>
    </xf>
    <xf numFmtId="0" fontId="25" fillId="0" borderId="0" xfId="0" applyFont="1" applyAlignment="1">
      <alignment vertical="top" wrapText="1"/>
    </xf>
    <xf numFmtId="0" fontId="23" fillId="0" borderId="2" xfId="0" applyFont="1" applyBorder="1" applyAlignment="1">
      <alignment vertical="top" wrapText="1"/>
    </xf>
    <xf numFmtId="0" fontId="23" fillId="0" borderId="2" xfId="0" applyFont="1" applyBorder="1" applyAlignment="1">
      <alignment horizontal="center" vertical="top" wrapText="1"/>
    </xf>
    <xf numFmtId="0" fontId="23" fillId="0" borderId="3" xfId="0" applyFont="1" applyBorder="1" applyAlignment="1">
      <alignment vertical="top" wrapText="1"/>
    </xf>
    <xf numFmtId="0" fontId="23" fillId="2" borderId="5" xfId="0" applyFont="1" applyFill="1" applyBorder="1" applyAlignment="1" applyProtection="1">
      <alignment vertical="top" wrapText="1"/>
      <protection locked="0"/>
    </xf>
    <xf numFmtId="3" fontId="7" fillId="0" borderId="3" xfId="1" applyNumberFormat="1" applyFont="1" applyFill="1" applyBorder="1" applyProtection="1"/>
    <xf numFmtId="0" fontId="7" fillId="0" borderId="5" xfId="0" applyFont="1" applyBorder="1" applyAlignment="1">
      <alignment horizontal="left" wrapText="1"/>
    </xf>
    <xf numFmtId="3" fontId="7" fillId="0" borderId="17" xfId="1" applyNumberFormat="1" applyFont="1" applyFill="1" applyBorder="1" applyProtection="1"/>
    <xf numFmtId="0" fontId="7" fillId="0" borderId="17" xfId="0" applyFont="1" applyBorder="1"/>
    <xf numFmtId="3" fontId="13" fillId="0" borderId="0" xfId="26" applyNumberFormat="1" applyFont="1"/>
    <xf numFmtId="3" fontId="5" fillId="2" borderId="17" xfId="1" applyNumberFormat="1" applyFont="1" applyFill="1" applyBorder="1" applyProtection="1">
      <protection locked="0"/>
    </xf>
    <xf numFmtId="3" fontId="5" fillId="0" borderId="5" xfId="1" applyNumberFormat="1" applyFont="1" applyBorder="1" applyProtection="1"/>
    <xf numFmtId="0" fontId="7" fillId="0" borderId="0" xfId="0" applyFont="1" applyAlignment="1">
      <alignment horizontal="left" wrapText="1"/>
    </xf>
    <xf numFmtId="3" fontId="7" fillId="2" borderId="5" xfId="28" applyNumberFormat="1" applyFont="1" applyFill="1" applyBorder="1" applyProtection="1">
      <protection locked="0"/>
    </xf>
    <xf numFmtId="0" fontId="7" fillId="0" borderId="5" xfId="28" applyFont="1" applyBorder="1" applyAlignment="1">
      <alignment horizontal="left" wrapText="1"/>
    </xf>
    <xf numFmtId="0" fontId="7" fillId="0" borderId="5" xfId="16" applyFont="1" applyBorder="1" applyAlignment="1">
      <alignment horizontal="left" wrapText="1"/>
    </xf>
    <xf numFmtId="38" fontId="23" fillId="2" borderId="5" xfId="28" applyNumberFormat="1" applyFont="1" applyFill="1" applyBorder="1" applyProtection="1">
      <protection locked="0"/>
    </xf>
    <xf numFmtId="37" fontId="48" fillId="0" borderId="0" xfId="10" applyFont="1" applyAlignment="1">
      <alignment wrapText="1"/>
    </xf>
    <xf numFmtId="0" fontId="23" fillId="0" borderId="0" xfId="21" applyFont="1" applyAlignment="1">
      <alignment vertical="top" wrapText="1"/>
    </xf>
    <xf numFmtId="0" fontId="10" fillId="0" borderId="0" xfId="23" applyAlignment="1">
      <alignment horizontal="center" wrapText="1"/>
    </xf>
    <xf numFmtId="0" fontId="16" fillId="0" borderId="0" xfId="0" applyFont="1" applyAlignment="1">
      <alignment horizontal="right"/>
    </xf>
    <xf numFmtId="3" fontId="16" fillId="0" borderId="0" xfId="1" applyNumberFormat="1" applyFont="1" applyProtection="1"/>
    <xf numFmtId="3" fontId="50" fillId="0" borderId="0" xfId="1" applyNumberFormat="1" applyFont="1" applyProtection="1"/>
    <xf numFmtId="3" fontId="5" fillId="0" borderId="2" xfId="1" applyNumberFormat="1" applyFont="1" applyBorder="1" applyProtection="1"/>
    <xf numFmtId="3" fontId="7" fillId="2" borderId="8" xfId="1" applyNumberFormat="1" applyFont="1" applyFill="1" applyBorder="1" applyProtection="1">
      <protection locked="0"/>
    </xf>
    <xf numFmtId="3" fontId="7" fillId="0" borderId="8" xfId="1" applyNumberFormat="1" applyFont="1" applyFill="1" applyBorder="1" applyProtection="1"/>
    <xf numFmtId="3" fontId="50" fillId="0" borderId="0" xfId="1" applyNumberFormat="1" applyFont="1" applyBorder="1" applyProtection="1"/>
    <xf numFmtId="37" fontId="48" fillId="0" borderId="0" xfId="9" applyFont="1" applyAlignment="1">
      <alignment horizontal="right"/>
    </xf>
    <xf numFmtId="3" fontId="48" fillId="0" borderId="0" xfId="9" quotePrefix="1" applyNumberFormat="1" applyFont="1"/>
    <xf numFmtId="3" fontId="48" fillId="0" borderId="0" xfId="9" applyNumberFormat="1" applyFont="1"/>
    <xf numFmtId="0" fontId="16" fillId="0" borderId="0" xfId="28" applyFont="1" applyAlignment="1">
      <alignment horizontal="right"/>
    </xf>
    <xf numFmtId="3" fontId="16" fillId="0" borderId="0" xfId="28" applyNumberFormat="1" applyFont="1"/>
    <xf numFmtId="3" fontId="16" fillId="0" borderId="0" xfId="1" applyNumberFormat="1" applyFont="1" applyFill="1" applyBorder="1" applyAlignment="1" applyProtection="1">
      <alignment horizontal="right"/>
    </xf>
    <xf numFmtId="3" fontId="7" fillId="0" borderId="0" xfId="28" applyNumberFormat="1" applyFont="1"/>
    <xf numFmtId="3" fontId="20" fillId="0" borderId="0" xfId="26" applyNumberFormat="1" applyFont="1"/>
    <xf numFmtId="3" fontId="20" fillId="0" borderId="0" xfId="26" applyNumberFormat="1" applyFont="1" applyAlignment="1">
      <alignment horizontal="center" vertical="center"/>
    </xf>
    <xf numFmtId="3" fontId="20" fillId="0" borderId="0" xfId="26" applyNumberFormat="1" applyFont="1" applyAlignment="1">
      <alignment horizontal="center" vertical="center" wrapText="1"/>
    </xf>
    <xf numFmtId="0" fontId="20" fillId="0" borderId="0" xfId="26" applyFont="1" applyAlignment="1">
      <alignment vertical="center"/>
    </xf>
    <xf numFmtId="3" fontId="13" fillId="0" borderId="2" xfId="1" applyNumberFormat="1" applyFont="1" applyFill="1" applyBorder="1" applyAlignment="1" applyProtection="1">
      <alignment horizontal="right"/>
    </xf>
    <xf numFmtId="3" fontId="13" fillId="0" borderId="9" xfId="1" applyNumberFormat="1" applyFont="1" applyBorder="1" applyAlignment="1" applyProtection="1">
      <alignment horizontal="right"/>
    </xf>
    <xf numFmtId="3" fontId="13" fillId="0" borderId="9" xfId="1" applyNumberFormat="1" applyFont="1" applyFill="1" applyBorder="1" applyAlignment="1" applyProtection="1">
      <alignment horizontal="right"/>
    </xf>
    <xf numFmtId="0" fontId="48" fillId="0" borderId="0" xfId="16" applyFont="1" applyAlignment="1">
      <alignment horizontal="center" wrapText="1"/>
    </xf>
    <xf numFmtId="3" fontId="48" fillId="0" borderId="0" xfId="16" applyNumberFormat="1" applyFont="1"/>
    <xf numFmtId="0" fontId="20" fillId="0" borderId="0" xfId="16" applyFont="1" applyAlignment="1">
      <alignment horizontal="right"/>
    </xf>
    <xf numFmtId="3" fontId="23" fillId="0" borderId="5" xfId="1" applyNumberFormat="1" applyFont="1" applyFill="1" applyBorder="1" applyAlignment="1" applyProtection="1">
      <alignment horizontal="right"/>
    </xf>
    <xf numFmtId="3" fontId="23" fillId="0" borderId="0" xfId="1" applyNumberFormat="1" applyFont="1" applyFill="1" applyAlignment="1" applyProtection="1">
      <alignment horizontal="right"/>
    </xf>
    <xf numFmtId="3" fontId="23" fillId="0" borderId="3" xfId="1" applyNumberFormat="1" applyFont="1" applyFill="1" applyBorder="1" applyAlignment="1" applyProtection="1">
      <alignment horizontal="right"/>
    </xf>
    <xf numFmtId="3" fontId="23" fillId="0" borderId="0" xfId="1" applyNumberFormat="1" applyFont="1" applyFill="1" applyBorder="1" applyAlignment="1" applyProtection="1">
      <alignment horizontal="right"/>
    </xf>
    <xf numFmtId="3" fontId="23" fillId="0" borderId="4" xfId="1" applyNumberFormat="1" applyFont="1" applyBorder="1" applyAlignment="1" applyProtection="1">
      <alignment horizontal="right"/>
    </xf>
    <xf numFmtId="0" fontId="0" fillId="0" borderId="0" xfId="0" applyAlignment="1">
      <alignment vertical="top"/>
    </xf>
    <xf numFmtId="165" fontId="13" fillId="0" borderId="0" xfId="1" applyNumberFormat="1" applyFont="1" applyFill="1" applyBorder="1" applyAlignment="1" applyProtection="1">
      <alignment vertical="top"/>
    </xf>
    <xf numFmtId="3" fontId="16" fillId="0" borderId="0" xfId="18" applyNumberFormat="1" applyFont="1" applyAlignment="1">
      <alignment vertical="top"/>
    </xf>
    <xf numFmtId="3" fontId="7" fillId="0" borderId="0" xfId="18" applyNumberFormat="1" applyFont="1"/>
    <xf numFmtId="0" fontId="7" fillId="0" borderId="0" xfId="18" applyFont="1" applyAlignment="1">
      <alignment horizontal="center" wrapText="1"/>
    </xf>
    <xf numFmtId="3" fontId="7" fillId="0" borderId="3" xfId="1" applyNumberFormat="1" applyFont="1" applyFill="1" applyBorder="1" applyAlignment="1" applyProtection="1">
      <alignment horizontal="right"/>
    </xf>
    <xf numFmtId="41" fontId="23" fillId="0" borderId="0" xfId="1" applyNumberFormat="1" applyFont="1" applyFill="1" applyBorder="1" applyProtection="1"/>
    <xf numFmtId="3" fontId="7" fillId="0" borderId="5" xfId="18" applyNumberFormat="1" applyFont="1" applyBorder="1"/>
    <xf numFmtId="3" fontId="7" fillId="0" borderId="5" xfId="1" applyNumberFormat="1" applyFont="1" applyFill="1" applyBorder="1" applyAlignment="1" applyProtection="1">
      <alignment horizontal="right"/>
    </xf>
    <xf numFmtId="3" fontId="7" fillId="0" borderId="9" xfId="1" applyNumberFormat="1" applyFont="1" applyBorder="1" applyAlignment="1" applyProtection="1">
      <alignment horizontal="right"/>
    </xf>
    <xf numFmtId="0" fontId="7" fillId="0" borderId="17" xfId="0" applyFont="1" applyBorder="1" applyAlignment="1">
      <alignment vertical="top"/>
    </xf>
    <xf numFmtId="3" fontId="7" fillId="2" borderId="5" xfId="18" applyNumberFormat="1" applyFont="1" applyFill="1" applyBorder="1" applyProtection="1">
      <protection locked="0"/>
    </xf>
    <xf numFmtId="0" fontId="7" fillId="0" borderId="5" xfId="18" applyFont="1" applyBorder="1" applyAlignment="1">
      <alignment horizontal="center"/>
    </xf>
    <xf numFmtId="37" fontId="48" fillId="0" borderId="0" xfId="10" applyFont="1" applyAlignment="1">
      <alignment horizontal="right"/>
    </xf>
    <xf numFmtId="3" fontId="48" fillId="0" borderId="0" xfId="10" applyNumberFormat="1" applyFont="1" applyAlignment="1">
      <alignment horizontal="right"/>
    </xf>
    <xf numFmtId="37" fontId="48" fillId="0" borderId="0" xfId="10" applyFont="1"/>
    <xf numFmtId="3" fontId="48" fillId="0" borderId="0" xfId="10" applyNumberFormat="1" applyFont="1"/>
    <xf numFmtId="3" fontId="49" fillId="0" borderId="0" xfId="23" applyNumberFormat="1" applyFont="1" applyAlignment="1">
      <alignment horizontal="right"/>
    </xf>
    <xf numFmtId="3" fontId="49" fillId="0" borderId="0" xfId="1" applyNumberFormat="1" applyFont="1" applyBorder="1" applyProtection="1"/>
    <xf numFmtId="0" fontId="49" fillId="0" borderId="0" xfId="23" applyFont="1" applyAlignment="1">
      <alignment horizontal="right"/>
    </xf>
    <xf numFmtId="3" fontId="49" fillId="0" borderId="0" xfId="23" applyNumberFormat="1" applyFont="1"/>
    <xf numFmtId="3" fontId="23" fillId="2" borderId="5" xfId="10" applyNumberFormat="1" applyFont="1" applyFill="1" applyBorder="1" applyAlignment="1" applyProtection="1">
      <alignment vertical="top"/>
      <protection locked="0"/>
    </xf>
    <xf numFmtId="3" fontId="10" fillId="0" borderId="0" xfId="31" applyNumberFormat="1" applyAlignment="1">
      <alignment horizontal="right"/>
    </xf>
    <xf numFmtId="0" fontId="10" fillId="0" borderId="0" xfId="31" applyAlignment="1">
      <alignment horizontal="right"/>
    </xf>
    <xf numFmtId="0" fontId="49" fillId="0" borderId="0" xfId="31" applyFont="1" applyAlignment="1">
      <alignment horizontal="right"/>
    </xf>
    <xf numFmtId="3" fontId="49" fillId="0" borderId="0" xfId="31" applyNumberFormat="1" applyFont="1"/>
    <xf numFmtId="41" fontId="7" fillId="0" borderId="0" xfId="1" applyNumberFormat="1" applyFont="1" applyFill="1" applyBorder="1" applyAlignment="1" applyProtection="1">
      <alignment horizontal="right"/>
    </xf>
    <xf numFmtId="0" fontId="7" fillId="0" borderId="14" xfId="28" applyFont="1" applyBorder="1"/>
    <xf numFmtId="0" fontId="7" fillId="0" borderId="15" xfId="28" applyFont="1" applyBorder="1"/>
    <xf numFmtId="0" fontId="7" fillId="0" borderId="15" xfId="28" applyFont="1" applyBorder="1" applyAlignment="1">
      <alignment wrapText="1"/>
    </xf>
    <xf numFmtId="0" fontId="7" fillId="0" borderId="16" xfId="28" applyFont="1" applyBorder="1" applyAlignment="1">
      <alignment wrapText="1"/>
    </xf>
    <xf numFmtId="0" fontId="7" fillId="0" borderId="13" xfId="28" applyFont="1" applyBorder="1"/>
    <xf numFmtId="170" fontId="23" fillId="0" borderId="5" xfId="10" applyNumberFormat="1" applyFont="1" applyBorder="1" applyAlignment="1">
      <alignment horizontal="center"/>
    </xf>
    <xf numFmtId="3" fontId="7" fillId="0" borderId="0" xfId="18" applyNumberFormat="1" applyFont="1" applyAlignment="1">
      <alignment horizontal="right" vertical="top" wrapText="1"/>
    </xf>
    <xf numFmtId="3" fontId="7" fillId="2" borderId="6" xfId="1" applyNumberFormat="1" applyFont="1" applyFill="1" applyBorder="1" applyAlignment="1" applyProtection="1">
      <alignment horizontal="right"/>
      <protection locked="0"/>
    </xf>
    <xf numFmtId="3" fontId="7" fillId="2" borderId="6" xfId="18" applyNumberFormat="1" applyFont="1" applyFill="1" applyBorder="1" applyProtection="1">
      <protection locked="0"/>
    </xf>
    <xf numFmtId="0" fontId="23" fillId="0" borderId="3" xfId="0" applyFont="1" applyBorder="1"/>
    <xf numFmtId="3" fontId="7" fillId="0" borderId="5" xfId="18" applyNumberFormat="1" applyFont="1" applyBorder="1" applyAlignment="1">
      <alignment wrapText="1"/>
    </xf>
    <xf numFmtId="0" fontId="7" fillId="0" borderId="0" xfId="28" applyFont="1" applyAlignment="1">
      <alignment horizontal="left" vertical="top" wrapText="1"/>
    </xf>
    <xf numFmtId="170" fontId="7" fillId="0" borderId="0" xfId="28" applyNumberFormat="1" applyFont="1" applyAlignment="1">
      <alignment horizontal="left" vertical="top" wrapText="1"/>
    </xf>
    <xf numFmtId="0" fontId="23" fillId="0" borderId="0" xfId="0" applyFont="1" applyAlignment="1">
      <alignment wrapText="1"/>
    </xf>
    <xf numFmtId="170" fontId="7" fillId="0" borderId="0" xfId="0" applyNumberFormat="1" applyFont="1"/>
    <xf numFmtId="3" fontId="7" fillId="0" borderId="0" xfId="0" applyNumberFormat="1" applyFont="1" applyAlignment="1">
      <alignment vertical="top" wrapText="1"/>
    </xf>
    <xf numFmtId="3" fontId="23" fillId="2" borderId="5" xfId="0" applyNumberFormat="1" applyFont="1" applyFill="1" applyBorder="1" applyAlignment="1" applyProtection="1">
      <alignment horizontal="right" vertical="top" wrapText="1"/>
      <protection locked="0"/>
    </xf>
    <xf numFmtId="0" fontId="23" fillId="0" borderId="0" xfId="10" applyNumberFormat="1" applyFont="1"/>
    <xf numFmtId="0" fontId="23" fillId="0" borderId="0" xfId="28" applyFont="1" applyAlignment="1">
      <alignment horizontal="left"/>
    </xf>
    <xf numFmtId="3" fontId="13" fillId="0" borderId="5" xfId="26" applyNumberFormat="1" applyFont="1" applyBorder="1"/>
    <xf numFmtId="3" fontId="5" fillId="2" borderId="17" xfId="1" applyNumberFormat="1" applyFont="1" applyFill="1" applyBorder="1" applyProtection="1"/>
    <xf numFmtId="3" fontId="7" fillId="0" borderId="7" xfId="18" applyNumberFormat="1" applyFont="1" applyBorder="1"/>
    <xf numFmtId="0" fontId="4" fillId="0" borderId="0" xfId="0" applyFont="1" applyAlignment="1">
      <alignment horizontal="center"/>
    </xf>
    <xf numFmtId="0" fontId="4" fillId="0" borderId="0" xfId="0" applyFont="1" applyAlignment="1">
      <alignment wrapText="1"/>
    </xf>
    <xf numFmtId="0" fontId="4" fillId="0" borderId="0" xfId="0" applyFont="1" applyAlignment="1">
      <alignment horizontal="left" wrapText="1"/>
    </xf>
    <xf numFmtId="0" fontId="7" fillId="0" borderId="5" xfId="0" applyFont="1" applyBorder="1" applyAlignment="1">
      <alignment wrapText="1"/>
    </xf>
    <xf numFmtId="0" fontId="5" fillId="0" borderId="5" xfId="0" applyFont="1" applyBorder="1" applyAlignment="1">
      <alignment horizontal="center"/>
    </xf>
    <xf numFmtId="0" fontId="7" fillId="0" borderId="5" xfId="0" applyFont="1" applyBorder="1" applyAlignment="1">
      <alignment horizontal="center" wrapText="1"/>
    </xf>
    <xf numFmtId="0" fontId="5" fillId="0" borderId="0" xfId="0" applyFont="1" applyAlignment="1">
      <alignment horizontal="right"/>
    </xf>
    <xf numFmtId="0" fontId="23" fillId="0" borderId="0" xfId="0" applyFont="1" applyAlignment="1">
      <alignment horizontal="right"/>
    </xf>
    <xf numFmtId="3" fontId="7" fillId="0" borderId="5" xfId="0" applyNumberFormat="1" applyFont="1" applyBorder="1" applyAlignment="1">
      <alignment horizontal="right"/>
    </xf>
    <xf numFmtId="10" fontId="7" fillId="0" borderId="5" xfId="0" applyNumberFormat="1" applyFont="1" applyBorder="1" applyAlignment="1">
      <alignment horizontal="right"/>
    </xf>
    <xf numFmtId="0" fontId="23" fillId="0" borderId="0" xfId="0" applyFont="1" applyAlignment="1">
      <alignment horizontal="center"/>
    </xf>
    <xf numFmtId="0" fontId="7" fillId="0" borderId="5" xfId="0" applyFont="1" applyBorder="1" applyAlignment="1">
      <alignment horizontal="center"/>
    </xf>
    <xf numFmtId="165" fontId="7" fillId="0" borderId="5" xfId="1" applyNumberFormat="1" applyFont="1" applyBorder="1" applyAlignment="1" applyProtection="1">
      <alignment horizontal="center"/>
    </xf>
    <xf numFmtId="10" fontId="5" fillId="0" borderId="0" xfId="0" applyNumberFormat="1" applyFont="1" applyAlignment="1">
      <alignment horizontal="right"/>
    </xf>
    <xf numFmtId="10" fontId="23" fillId="0" borderId="0" xfId="0" applyNumberFormat="1" applyFont="1" applyAlignment="1">
      <alignment horizontal="right"/>
    </xf>
    <xf numFmtId="10" fontId="7" fillId="0" borderId="0" xfId="0" applyNumberFormat="1" applyFont="1" applyAlignment="1">
      <alignment horizontal="right"/>
    </xf>
    <xf numFmtId="10" fontId="7" fillId="0" borderId="5" xfId="0" applyNumberFormat="1" applyFont="1" applyBorder="1" applyAlignment="1">
      <alignment horizontal="right" wrapText="1"/>
    </xf>
    <xf numFmtId="0" fontId="7" fillId="0" borderId="7" xfId="0" applyFont="1" applyBorder="1" applyAlignment="1">
      <alignment wrapText="1"/>
    </xf>
    <xf numFmtId="3" fontId="7" fillId="0" borderId="5" xfId="0" applyNumberFormat="1" applyFont="1" applyBorder="1" applyAlignment="1">
      <alignment horizontal="right" wrapText="1"/>
    </xf>
    <xf numFmtId="3" fontId="7" fillId="0" borderId="5" xfId="0" applyNumberFormat="1" applyFont="1" applyBorder="1" applyAlignment="1">
      <alignment horizontal="center"/>
    </xf>
    <xf numFmtId="10" fontId="5" fillId="0" borderId="5" xfId="0" applyNumberFormat="1" applyFont="1" applyBorder="1" applyAlignment="1">
      <alignment horizontal="center" wrapText="1"/>
    </xf>
    <xf numFmtId="0" fontId="36" fillId="0" borderId="0" xfId="0" applyFont="1"/>
    <xf numFmtId="0" fontId="7" fillId="0" borderId="5" xfId="0" applyFont="1" applyBorder="1"/>
    <xf numFmtId="0" fontId="34" fillId="0" borderId="0" xfId="0" applyFont="1"/>
    <xf numFmtId="0" fontId="3" fillId="0" borderId="0" xfId="0" applyFont="1"/>
    <xf numFmtId="170" fontId="7" fillId="2" borderId="5" xfId="1" applyNumberFormat="1" applyFont="1" applyFill="1" applyBorder="1" applyAlignment="1" applyProtection="1">
      <alignment horizontal="center" wrapText="1"/>
      <protection locked="0"/>
    </xf>
    <xf numFmtId="165" fontId="5" fillId="0" borderId="0" xfId="1" applyNumberFormat="1" applyFont="1" applyAlignment="1" applyProtection="1">
      <alignment horizontal="center" vertical="top"/>
    </xf>
    <xf numFmtId="0" fontId="7" fillId="0" borderId="0" xfId="28" applyFont="1" applyAlignment="1">
      <alignment horizontal="right"/>
    </xf>
    <xf numFmtId="0" fontId="16" fillId="0" borderId="0" xfId="28" applyFont="1" applyAlignment="1">
      <alignment horizontal="center" wrapText="1"/>
    </xf>
    <xf numFmtId="0" fontId="20" fillId="0" borderId="0" xfId="26" applyFont="1" applyAlignment="1">
      <alignment horizontal="center" vertical="center"/>
    </xf>
    <xf numFmtId="0" fontId="20" fillId="0" borderId="0" xfId="26" applyFont="1" applyAlignment="1">
      <alignment horizontal="center" vertical="center" wrapText="1"/>
    </xf>
    <xf numFmtId="3" fontId="23" fillId="0" borderId="5" xfId="16" applyNumberFormat="1" applyFont="1" applyBorder="1"/>
    <xf numFmtId="3" fontId="20" fillId="0" borderId="0" xfId="16" applyNumberFormat="1" applyFont="1" applyAlignment="1">
      <alignment horizontal="right"/>
    </xf>
    <xf numFmtId="3" fontId="23" fillId="2" borderId="5" xfId="16" applyNumberFormat="1" applyFont="1" applyFill="1" applyBorder="1" applyProtection="1">
      <protection locked="0"/>
    </xf>
    <xf numFmtId="3" fontId="23" fillId="0" borderId="5" xfId="16" applyNumberFormat="1" applyFont="1" applyBorder="1" applyAlignment="1">
      <alignment horizontal="right"/>
    </xf>
    <xf numFmtId="0" fontId="23" fillId="0" borderId="0" xfId="16" quotePrefix="1" applyFont="1" applyAlignment="1">
      <alignment horizontal="right"/>
    </xf>
    <xf numFmtId="3" fontId="23" fillId="2" borderId="5" xfId="1" applyNumberFormat="1" applyFont="1" applyFill="1" applyBorder="1" applyAlignment="1" applyProtection="1">
      <alignment horizontal="right"/>
      <protection locked="0"/>
    </xf>
    <xf numFmtId="0" fontId="48" fillId="0" borderId="0" xfId="16" applyFont="1" applyAlignment="1">
      <alignment horizontal="right"/>
    </xf>
    <xf numFmtId="3" fontId="26" fillId="0" borderId="0" xfId="16" applyNumberFormat="1" applyFont="1" applyAlignment="1">
      <alignment horizontal="right"/>
    </xf>
    <xf numFmtId="3" fontId="48" fillId="0" borderId="0" xfId="16" applyNumberFormat="1" applyFont="1" applyAlignment="1">
      <alignment horizontal="right"/>
    </xf>
    <xf numFmtId="3" fontId="23" fillId="2" borderId="5" xfId="16" applyNumberFormat="1" applyFont="1" applyFill="1" applyBorder="1" applyAlignment="1" applyProtection="1">
      <alignment horizontal="right"/>
      <protection locked="0"/>
    </xf>
    <xf numFmtId="3" fontId="23" fillId="0" borderId="0" xfId="16" applyNumberFormat="1" applyFont="1" applyAlignment="1">
      <alignment horizontal="right"/>
    </xf>
    <xf numFmtId="3" fontId="23" fillId="0" borderId="9" xfId="16" applyNumberFormat="1" applyFont="1" applyBorder="1"/>
    <xf numFmtId="0" fontId="16" fillId="0" borderId="0" xfId="16" applyFont="1" applyAlignment="1">
      <alignment horizontal="right"/>
    </xf>
    <xf numFmtId="0" fontId="16" fillId="0" borderId="0" xfId="18" applyFont="1" applyAlignment="1">
      <alignment horizontal="right"/>
    </xf>
    <xf numFmtId="0" fontId="7" fillId="0" borderId="12" xfId="18" applyFont="1" applyBorder="1" applyAlignment="1">
      <alignment vertical="top" wrapText="1"/>
    </xf>
    <xf numFmtId="0" fontId="7" fillId="0" borderId="8" xfId="18" applyFont="1" applyBorder="1" applyAlignment="1">
      <alignment vertical="top" wrapText="1"/>
    </xf>
    <xf numFmtId="0" fontId="34" fillId="2" borderId="21" xfId="0" applyFont="1" applyFill="1" applyBorder="1" applyAlignment="1" applyProtection="1">
      <alignment wrapText="1"/>
      <protection locked="0"/>
    </xf>
    <xf numFmtId="0" fontId="7" fillId="0" borderId="2" xfId="0" applyFont="1" applyBorder="1" applyAlignment="1">
      <alignment vertical="top" wrapText="1"/>
    </xf>
    <xf numFmtId="0" fontId="7" fillId="2" borderId="5" xfId="18" applyFont="1" applyFill="1" applyBorder="1" applyAlignment="1" applyProtection="1">
      <alignment horizontal="center"/>
      <protection locked="0"/>
    </xf>
    <xf numFmtId="170" fontId="23" fillId="0" borderId="5" xfId="10" applyNumberFormat="1" applyFont="1" applyBorder="1" applyAlignment="1">
      <alignment horizontal="center" wrapText="1"/>
    </xf>
    <xf numFmtId="170" fontId="23" fillId="0" borderId="17" xfId="10" applyNumberFormat="1" applyFont="1" applyBorder="1" applyAlignment="1">
      <alignment horizontal="center" wrapText="1"/>
    </xf>
    <xf numFmtId="49" fontId="23" fillId="0" borderId="5" xfId="10" applyNumberFormat="1" applyFont="1" applyBorder="1" applyAlignment="1">
      <alignment horizontal="center"/>
    </xf>
    <xf numFmtId="165" fontId="10" fillId="0" borderId="0" xfId="1" applyNumberFormat="1" applyFont="1" applyProtection="1"/>
    <xf numFmtId="165" fontId="10" fillId="0" borderId="0" xfId="1" applyNumberFormat="1" applyFont="1" applyAlignment="1" applyProtection="1">
      <alignment horizontal="center"/>
    </xf>
    <xf numFmtId="37" fontId="23" fillId="0" borderId="0" xfId="10" applyFont="1" applyAlignment="1">
      <alignment vertical="top"/>
    </xf>
    <xf numFmtId="0" fontId="7" fillId="0" borderId="13" xfId="0" applyFont="1" applyBorder="1" applyAlignment="1">
      <alignment vertical="top" wrapText="1"/>
    </xf>
    <xf numFmtId="0" fontId="7" fillId="0" borderId="17" xfId="18" applyFont="1" applyBorder="1"/>
    <xf numFmtId="0" fontId="5" fillId="0" borderId="0" xfId="25" applyFont="1"/>
    <xf numFmtId="0" fontId="10" fillId="0" borderId="0" xfId="25"/>
    <xf numFmtId="0" fontId="4" fillId="0" borderId="0" xfId="25" applyFont="1"/>
    <xf numFmtId="0" fontId="5" fillId="0" borderId="0" xfId="25" applyFont="1" applyAlignment="1">
      <alignment horizontal="left"/>
    </xf>
    <xf numFmtId="0" fontId="4" fillId="0" borderId="0" xfId="25" applyFont="1" applyAlignment="1">
      <alignment horizontal="left"/>
    </xf>
    <xf numFmtId="0" fontId="7" fillId="0" borderId="0" xfId="25" applyFont="1" applyAlignment="1">
      <alignment horizontal="left"/>
    </xf>
    <xf numFmtId="0" fontId="5" fillId="0" borderId="2" xfId="25" applyFont="1" applyBorder="1"/>
    <xf numFmtId="0" fontId="5" fillId="0" borderId="2" xfId="25" applyFont="1" applyBorder="1" applyAlignment="1">
      <alignment horizontal="left"/>
    </xf>
    <xf numFmtId="0" fontId="5" fillId="0" borderId="0" xfId="25" applyFont="1" applyAlignment="1">
      <alignment horizontal="center" wrapText="1"/>
    </xf>
    <xf numFmtId="0" fontId="7" fillId="0" borderId="0" xfId="25" applyFont="1"/>
    <xf numFmtId="0" fontId="16" fillId="0" borderId="0" xfId="25" applyFont="1" applyAlignment="1">
      <alignment horizontal="left"/>
    </xf>
    <xf numFmtId="0" fontId="24" fillId="0" borderId="0" xfId="25" applyFont="1"/>
    <xf numFmtId="0" fontId="7" fillId="0" borderId="0" xfId="25" applyFont="1" applyAlignment="1">
      <alignment horizontal="right"/>
    </xf>
    <xf numFmtId="0" fontId="4" fillId="0" borderId="0" xfId="25" applyFont="1" applyAlignment="1">
      <alignment horizontal="right"/>
    </xf>
    <xf numFmtId="0" fontId="7" fillId="0" borderId="0" xfId="25" applyFont="1" applyAlignment="1">
      <alignment horizontal="left" wrapText="1"/>
    </xf>
    <xf numFmtId="0" fontId="16" fillId="0" borderId="0" xfId="25" applyFont="1" applyAlignment="1">
      <alignment horizontal="left" wrapText="1"/>
    </xf>
    <xf numFmtId="0" fontId="23" fillId="0" borderId="0" xfId="25" applyFont="1"/>
    <xf numFmtId="0" fontId="16" fillId="0" borderId="0" xfId="25" applyFont="1" applyAlignment="1">
      <alignment horizontal="right"/>
    </xf>
    <xf numFmtId="0" fontId="8" fillId="0" borderId="0" xfId="25" applyFont="1"/>
    <xf numFmtId="0" fontId="7" fillId="2" borderId="5" xfId="25" applyFont="1" applyFill="1" applyBorder="1" applyAlignment="1">
      <alignment horizontal="left" wrapText="1"/>
    </xf>
    <xf numFmtId="0" fontId="7" fillId="0" borderId="2" xfId="25" applyFont="1" applyBorder="1" applyAlignment="1">
      <alignment horizontal="left"/>
    </xf>
    <xf numFmtId="3" fontId="13" fillId="2" borderId="5" xfId="1" applyNumberFormat="1" applyFont="1" applyFill="1" applyBorder="1" applyAlignment="1" applyProtection="1">
      <alignment horizontal="right"/>
    </xf>
    <xf numFmtId="3" fontId="13" fillId="2" borderId="5" xfId="1" applyNumberFormat="1" applyFont="1" applyFill="1" applyBorder="1" applyProtection="1"/>
    <xf numFmtId="3" fontId="10" fillId="0" borderId="0" xfId="25" applyNumberFormat="1"/>
    <xf numFmtId="0" fontId="13" fillId="0" borderId="0" xfId="26" applyFont="1" applyAlignment="1">
      <alignment horizontal="center"/>
    </xf>
    <xf numFmtId="0" fontId="10" fillId="0" borderId="0" xfId="25" applyAlignment="1">
      <alignment horizontal="center"/>
    </xf>
    <xf numFmtId="3" fontId="23" fillId="2" borderId="5" xfId="1" applyNumberFormat="1" applyFont="1" applyFill="1" applyBorder="1" applyProtection="1"/>
    <xf numFmtId="0" fontId="7" fillId="0" borderId="0" xfId="25" applyFont="1" applyAlignment="1">
      <alignment wrapText="1"/>
    </xf>
    <xf numFmtId="0" fontId="7" fillId="0" borderId="0" xfId="16" applyFont="1" applyAlignment="1">
      <alignment horizontal="left"/>
    </xf>
    <xf numFmtId="0" fontId="4" fillId="0" borderId="0" xfId="18" applyFont="1" applyAlignment="1">
      <alignment horizontal="left" vertical="top" wrapText="1"/>
    </xf>
    <xf numFmtId="3" fontId="13" fillId="2" borderId="6" xfId="1" applyNumberFormat="1" applyFont="1" applyFill="1" applyBorder="1" applyProtection="1">
      <protection locked="0"/>
    </xf>
    <xf numFmtId="37" fontId="45" fillId="0" borderId="0" xfId="10" applyFont="1" applyAlignment="1">
      <alignment wrapText="1"/>
    </xf>
    <xf numFmtId="37" fontId="46" fillId="0" borderId="0" xfId="10" applyFont="1" applyAlignment="1">
      <alignment wrapText="1"/>
    </xf>
    <xf numFmtId="37" fontId="45" fillId="0" borderId="0" xfId="10" applyFont="1" applyAlignment="1">
      <alignment horizontal="center" wrapText="1"/>
    </xf>
    <xf numFmtId="0" fontId="7" fillId="2" borderId="5" xfId="18" applyFont="1" applyFill="1" applyBorder="1" applyAlignment="1" applyProtection="1">
      <alignment horizontal="center" vertical="top" wrapText="1"/>
      <protection locked="0"/>
    </xf>
    <xf numFmtId="0" fontId="10" fillId="2" borderId="5" xfId="20" applyFill="1" applyBorder="1" applyAlignment="1" applyProtection="1">
      <alignment horizontal="center" wrapText="1"/>
      <protection locked="0"/>
    </xf>
    <xf numFmtId="0" fontId="53" fillId="0" borderId="16" xfId="0" applyFont="1" applyBorder="1" applyAlignment="1">
      <alignment vertical="top" wrapText="1"/>
    </xf>
    <xf numFmtId="0" fontId="3" fillId="0" borderId="0" xfId="30"/>
    <xf numFmtId="0" fontId="7" fillId="0" borderId="5" xfId="30" applyFont="1" applyBorder="1" applyAlignment="1">
      <alignment vertical="top" wrapText="1"/>
    </xf>
    <xf numFmtId="0" fontId="7" fillId="2" borderId="8" xfId="30" applyFont="1" applyFill="1" applyBorder="1" applyAlignment="1">
      <alignment vertical="top" wrapText="1"/>
    </xf>
    <xf numFmtId="0" fontId="7" fillId="0" borderId="21" xfId="30" applyFont="1" applyBorder="1" applyAlignment="1">
      <alignment vertical="top" wrapText="1"/>
    </xf>
    <xf numFmtId="0" fontId="7" fillId="0" borderId="6" xfId="30" applyFont="1" applyBorder="1" applyAlignment="1">
      <alignment vertical="top" wrapText="1"/>
    </xf>
    <xf numFmtId="0" fontId="7" fillId="0" borderId="7" xfId="30" applyFont="1" applyBorder="1" applyAlignment="1">
      <alignment vertical="top" wrapText="1"/>
    </xf>
    <xf numFmtId="0" fontId="7" fillId="2" borderId="7" xfId="30" applyFont="1" applyFill="1" applyBorder="1" applyAlignment="1">
      <alignment vertical="top" wrapText="1"/>
    </xf>
    <xf numFmtId="0" fontId="7" fillId="0" borderId="16" xfId="30" applyFont="1" applyBorder="1" applyAlignment="1">
      <alignment vertical="top" wrapText="1"/>
    </xf>
    <xf numFmtId="0" fontId="7" fillId="0" borderId="14" xfId="18" applyFont="1" applyBorder="1" applyAlignment="1">
      <alignment vertical="top" wrapText="1"/>
    </xf>
    <xf numFmtId="0" fontId="7" fillId="0" borderId="13" xfId="30" applyFont="1" applyBorder="1" applyAlignment="1">
      <alignment vertical="top" wrapText="1"/>
    </xf>
    <xf numFmtId="0" fontId="7" fillId="2" borderId="5" xfId="0" applyFont="1" applyFill="1" applyBorder="1" applyAlignment="1">
      <alignment vertical="top" wrapText="1"/>
    </xf>
    <xf numFmtId="0" fontId="7" fillId="0" borderId="11" xfId="30" applyFont="1" applyBorder="1" applyAlignment="1">
      <alignment vertical="top" wrapText="1"/>
    </xf>
    <xf numFmtId="3" fontId="23" fillId="2" borderId="5" xfId="16" applyNumberFormat="1" applyFont="1" applyFill="1" applyBorder="1"/>
    <xf numFmtId="3" fontId="4" fillId="0" borderId="5" xfId="1" applyNumberFormat="1" applyFont="1" applyFill="1" applyBorder="1" applyAlignment="1" applyProtection="1">
      <alignment horizontal="center" wrapText="1"/>
    </xf>
    <xf numFmtId="0" fontId="25" fillId="0" borderId="5" xfId="25" applyFont="1" applyBorder="1" applyAlignment="1">
      <alignment horizontal="center"/>
    </xf>
    <xf numFmtId="0" fontId="34" fillId="2" borderId="8" xfId="0" applyFont="1" applyFill="1" applyBorder="1" applyAlignment="1" applyProtection="1">
      <alignment horizontal="center" wrapText="1"/>
      <protection locked="0"/>
    </xf>
    <xf numFmtId="3" fontId="7" fillId="0" borderId="5" xfId="30" applyNumberFormat="1" applyFont="1" applyBorder="1" applyAlignment="1">
      <alignment vertical="top" wrapText="1"/>
    </xf>
    <xf numFmtId="3" fontId="13" fillId="0" borderId="15" xfId="1" applyNumberFormat="1" applyFont="1" applyFill="1" applyBorder="1" applyAlignment="1" applyProtection="1">
      <alignment horizontal="right"/>
    </xf>
    <xf numFmtId="0" fontId="13" fillId="0" borderId="5" xfId="26" applyFont="1" applyBorder="1" applyAlignment="1">
      <alignment wrapText="1"/>
    </xf>
    <xf numFmtId="3" fontId="13" fillId="0" borderId="3" xfId="1" applyNumberFormat="1" applyFont="1" applyFill="1" applyBorder="1" applyProtection="1"/>
    <xf numFmtId="3" fontId="23" fillId="0" borderId="12" xfId="16" applyNumberFormat="1" applyFont="1" applyBorder="1"/>
    <xf numFmtId="0" fontId="25" fillId="0" borderId="0" xfId="0" applyFont="1"/>
    <xf numFmtId="0" fontId="25" fillId="0" borderId="12" xfId="0" applyFont="1" applyBorder="1" applyAlignment="1">
      <alignment horizontal="left" wrapText="1"/>
    </xf>
    <xf numFmtId="0" fontId="25" fillId="0" borderId="2" xfId="0" applyFont="1" applyBorder="1" applyAlignment="1">
      <alignment horizontal="left" wrapText="1"/>
    </xf>
    <xf numFmtId="0" fontId="25" fillId="0" borderId="13" xfId="0" applyFont="1" applyBorder="1" applyAlignment="1">
      <alignment horizontal="left" wrapText="1"/>
    </xf>
    <xf numFmtId="0" fontId="7" fillId="0" borderId="12" xfId="18" applyFont="1" applyBorder="1" applyAlignment="1">
      <alignment wrapText="1"/>
    </xf>
    <xf numFmtId="0" fontId="7" fillId="0" borderId="6" xfId="18" applyFont="1" applyBorder="1" applyAlignment="1">
      <alignment vertical="top" wrapText="1"/>
    </xf>
    <xf numFmtId="0" fontId="7" fillId="0" borderId="0" xfId="0" applyFont="1" applyAlignment="1">
      <alignment horizontal="left" vertical="top" wrapText="1"/>
    </xf>
    <xf numFmtId="0" fontId="7" fillId="0" borderId="0" xfId="30" applyFont="1" applyAlignment="1">
      <alignment vertical="top" wrapText="1"/>
    </xf>
    <xf numFmtId="0" fontId="7" fillId="0" borderId="0" xfId="30" applyFont="1" applyAlignment="1">
      <alignment horizontal="left" vertical="top" wrapText="1"/>
    </xf>
    <xf numFmtId="165" fontId="13" fillId="0" borderId="2" xfId="1" applyNumberFormat="1" applyFont="1" applyFill="1" applyBorder="1" applyProtection="1"/>
    <xf numFmtId="0" fontId="10" fillId="0" borderId="0" xfId="25" applyAlignment="1">
      <alignment horizontal="left"/>
    </xf>
    <xf numFmtId="0" fontId="10" fillId="0" borderId="0" xfId="25" applyAlignment="1">
      <alignment wrapText="1"/>
    </xf>
    <xf numFmtId="165" fontId="10" fillId="0" borderId="0" xfId="25" applyNumberFormat="1"/>
    <xf numFmtId="165" fontId="10" fillId="0" borderId="3" xfId="25" applyNumberFormat="1" applyBorder="1"/>
    <xf numFmtId="3" fontId="10" fillId="0" borderId="5" xfId="25" applyNumberFormat="1" applyBorder="1"/>
    <xf numFmtId="37" fontId="23" fillId="0" borderId="0" xfId="9" applyFont="1" applyAlignment="1">
      <alignment vertical="top" wrapText="1"/>
    </xf>
    <xf numFmtId="0" fontId="4" fillId="0" borderId="0" xfId="25" applyFont="1" applyAlignment="1">
      <alignment horizontal="center"/>
    </xf>
    <xf numFmtId="0" fontId="7" fillId="0" borderId="12" xfId="25" applyFont="1" applyBorder="1"/>
    <xf numFmtId="0" fontId="10" fillId="0" borderId="2" xfId="25" applyBorder="1"/>
    <xf numFmtId="37" fontId="23" fillId="0" borderId="0" xfId="9" applyFont="1" applyAlignment="1">
      <alignment vertical="top"/>
    </xf>
    <xf numFmtId="0" fontId="13" fillId="2" borderId="5" xfId="26" applyFont="1" applyFill="1" applyBorder="1" applyAlignment="1">
      <alignment wrapText="1"/>
    </xf>
    <xf numFmtId="0" fontId="13" fillId="0" borderId="0" xfId="26" applyFont="1" applyAlignment="1">
      <alignment horizontal="left" wrapText="1"/>
    </xf>
    <xf numFmtId="169" fontId="23" fillId="2" borderId="5" xfId="16" applyNumberFormat="1" applyFont="1" applyFill="1" applyBorder="1" applyAlignment="1" applyProtection="1">
      <alignment horizontal="left"/>
      <protection locked="0"/>
    </xf>
    <xf numFmtId="3" fontId="23" fillId="0" borderId="4" xfId="1" applyNumberFormat="1" applyFont="1" applyFill="1" applyBorder="1" applyProtection="1"/>
    <xf numFmtId="10" fontId="23" fillId="0" borderId="0" xfId="16" applyNumberFormat="1" applyFont="1"/>
    <xf numFmtId="0" fontId="56" fillId="0" borderId="0" xfId="0" applyFont="1" applyAlignment="1">
      <alignment horizontal="right"/>
    </xf>
    <xf numFmtId="3" fontId="48" fillId="0" borderId="0" xfId="1" applyNumberFormat="1" applyFont="1" applyFill="1" applyBorder="1" applyProtection="1"/>
    <xf numFmtId="0" fontId="0" fillId="0" borderId="0" xfId="0" applyAlignment="1">
      <alignment horizontal="right"/>
    </xf>
    <xf numFmtId="49" fontId="23" fillId="0" borderId="0" xfId="1" applyNumberFormat="1" applyFont="1" applyFill="1" applyBorder="1" applyAlignment="1" applyProtection="1">
      <alignment horizontal="right"/>
    </xf>
    <xf numFmtId="10" fontId="0" fillId="2" borderId="5" xfId="0" applyNumberFormat="1" applyFill="1" applyBorder="1" applyProtection="1">
      <protection locked="0"/>
    </xf>
    <xf numFmtId="41" fontId="7" fillId="0" borderId="5" xfId="16" applyNumberFormat="1" applyFont="1" applyBorder="1" applyAlignment="1">
      <alignment horizontal="center"/>
    </xf>
    <xf numFmtId="41" fontId="7" fillId="0" borderId="5" xfId="16" applyNumberFormat="1" applyFont="1" applyBorder="1" applyAlignment="1">
      <alignment horizontal="center" wrapText="1"/>
    </xf>
    <xf numFmtId="0" fontId="7" fillId="0" borderId="5" xfId="16" applyFont="1" applyBorder="1" applyAlignment="1">
      <alignment horizontal="center"/>
    </xf>
    <xf numFmtId="3" fontId="23" fillId="0" borderId="4" xfId="16" applyNumberFormat="1" applyFont="1" applyBorder="1"/>
    <xf numFmtId="0" fontId="10" fillId="0" borderId="0" xfId="25" applyAlignment="1">
      <alignment horizontal="right"/>
    </xf>
    <xf numFmtId="10" fontId="0" fillId="2" borderId="5" xfId="0" quotePrefix="1" applyNumberFormat="1" applyFill="1" applyBorder="1" applyProtection="1">
      <protection locked="0"/>
    </xf>
    <xf numFmtId="0" fontId="10" fillId="0" borderId="0" xfId="21" applyAlignment="1">
      <alignment vertical="top" wrapText="1"/>
    </xf>
    <xf numFmtId="0" fontId="10" fillId="0" borderId="0" xfId="0" applyFont="1" applyAlignment="1">
      <alignment vertical="top" wrapText="1"/>
    </xf>
    <xf numFmtId="37" fontId="10" fillId="0" borderId="0" xfId="9" applyFont="1"/>
    <xf numFmtId="38" fontId="5" fillId="0" borderId="2" xfId="28" applyNumberFormat="1" applyFont="1" applyBorder="1" applyAlignment="1">
      <alignment horizontal="center" wrapText="1"/>
    </xf>
    <xf numFmtId="38" fontId="5" fillId="0" borderId="0" xfId="28" applyNumberFormat="1" applyFont="1" applyAlignment="1">
      <alignment horizontal="left" wrapText="1"/>
    </xf>
    <xf numFmtId="0" fontId="10" fillId="0" borderId="0" xfId="16" applyAlignment="1">
      <alignment horizontal="center" wrapText="1"/>
    </xf>
    <xf numFmtId="0" fontId="10" fillId="0" borderId="0" xfId="16" applyAlignment="1">
      <alignment horizontal="right"/>
    </xf>
    <xf numFmtId="0" fontId="10" fillId="0" borderId="0" xfId="16"/>
    <xf numFmtId="0" fontId="10" fillId="0" borderId="5" xfId="15" applyBorder="1" applyAlignment="1">
      <alignment horizontal="center" wrapText="1"/>
    </xf>
    <xf numFmtId="37" fontId="10" fillId="0" borderId="5" xfId="10" quotePrefix="1" applyFont="1" applyBorder="1" applyAlignment="1">
      <alignment horizontal="center" wrapText="1"/>
    </xf>
    <xf numFmtId="37" fontId="10" fillId="0" borderId="5" xfId="10" applyFont="1" applyBorder="1" applyAlignment="1">
      <alignment horizontal="right"/>
    </xf>
    <xf numFmtId="0" fontId="5" fillId="0" borderId="5" xfId="18" applyFont="1" applyBorder="1" applyAlignment="1">
      <alignment horizontal="left" vertical="top" wrapText="1"/>
    </xf>
    <xf numFmtId="0" fontId="5" fillId="0" borderId="5" xfId="0" applyFont="1" applyBorder="1" applyAlignment="1">
      <alignment vertical="top" wrapText="1"/>
    </xf>
    <xf numFmtId="0" fontId="5" fillId="0" borderId="6" xfId="0" applyFont="1" applyBorder="1" applyAlignment="1">
      <alignment vertical="top" wrapText="1"/>
    </xf>
    <xf numFmtId="37" fontId="57" fillId="0" borderId="0" xfId="10" applyFont="1" applyAlignment="1">
      <alignment wrapText="1"/>
    </xf>
    <xf numFmtId="0" fontId="10" fillId="0" borderId="0" xfId="0" applyFont="1" applyAlignment="1">
      <alignment horizontal="center" vertical="top" wrapText="1"/>
    </xf>
    <xf numFmtId="0" fontId="10" fillId="0" borderId="0" xfId="0" applyFont="1" applyAlignment="1">
      <alignment horizontal="center" vertical="top"/>
    </xf>
    <xf numFmtId="0" fontId="5" fillId="0" borderId="0" xfId="28" applyFont="1"/>
    <xf numFmtId="0" fontId="5" fillId="0" borderId="0" xfId="28" applyFont="1" applyAlignment="1">
      <alignment horizontal="right"/>
    </xf>
    <xf numFmtId="165" fontId="10" fillId="2" borderId="5" xfId="1" applyNumberFormat="1" applyFont="1" applyFill="1" applyBorder="1" applyAlignment="1" applyProtection="1">
      <alignment vertical="top" wrapText="1"/>
      <protection locked="0"/>
    </xf>
    <xf numFmtId="0" fontId="5" fillId="0" borderId="0" xfId="28" applyFont="1" applyAlignment="1">
      <alignment horizontal="center"/>
    </xf>
    <xf numFmtId="165" fontId="10" fillId="0" borderId="5" xfId="1" applyNumberFormat="1" applyFont="1" applyFill="1" applyBorder="1" applyProtection="1"/>
    <xf numFmtId="165" fontId="10" fillId="0" borderId="0" xfId="1" applyNumberFormat="1" applyFont="1" applyFill="1" applyBorder="1" applyProtection="1"/>
    <xf numFmtId="0" fontId="5" fillId="0" borderId="5" xfId="0" applyFont="1" applyBorder="1" applyAlignment="1">
      <alignment horizontal="left" vertical="top" wrapText="1"/>
    </xf>
    <xf numFmtId="0" fontId="7" fillId="0" borderId="5" xfId="25" applyFont="1" applyBorder="1" applyAlignment="1">
      <alignment wrapText="1"/>
    </xf>
    <xf numFmtId="3" fontId="10" fillId="0" borderId="2" xfId="25" applyNumberFormat="1" applyBorder="1"/>
    <xf numFmtId="0" fontId="5" fillId="2" borderId="5" xfId="0" applyFont="1" applyFill="1" applyBorder="1" applyAlignment="1" applyProtection="1">
      <alignment wrapText="1"/>
      <protection locked="0"/>
    </xf>
    <xf numFmtId="3" fontId="5" fillId="2" borderId="5" xfId="1" applyNumberFormat="1" applyFont="1" applyFill="1" applyBorder="1" applyAlignment="1" applyProtection="1">
      <alignment horizontal="center" wrapText="1"/>
      <protection locked="0"/>
    </xf>
    <xf numFmtId="0" fontId="10" fillId="2" borderId="5" xfId="0" applyFont="1" applyFill="1" applyBorder="1" applyAlignment="1" applyProtection="1">
      <alignment vertical="top" wrapText="1"/>
      <protection locked="0"/>
    </xf>
    <xf numFmtId="0" fontId="10" fillId="2" borderId="5" xfId="0" applyFont="1" applyFill="1" applyBorder="1" applyAlignment="1" applyProtection="1">
      <alignment horizontal="left" vertical="top" wrapText="1"/>
      <protection locked="0"/>
    </xf>
    <xf numFmtId="0" fontId="5" fillId="2" borderId="5" xfId="16" applyFont="1" applyFill="1" applyBorder="1" applyAlignment="1" applyProtection="1">
      <alignment horizontal="left" wrapText="1"/>
      <protection locked="0"/>
    </xf>
    <xf numFmtId="49" fontId="10" fillId="2" borderId="5" xfId="1" applyNumberFormat="1" applyFont="1" applyFill="1" applyBorder="1" applyAlignment="1" applyProtection="1">
      <alignment horizontal="left"/>
      <protection locked="0"/>
    </xf>
    <xf numFmtId="0" fontId="5" fillId="2" borderId="5" xfId="0" applyFont="1" applyFill="1" applyBorder="1" applyAlignment="1" applyProtection="1">
      <alignment horizontal="left" vertical="top" wrapText="1"/>
      <protection locked="0"/>
    </xf>
    <xf numFmtId="0" fontId="5" fillId="2" borderId="8" xfId="30" applyFont="1" applyFill="1" applyBorder="1" applyAlignment="1" applyProtection="1">
      <alignment horizontal="left" vertical="top" wrapText="1"/>
      <protection locked="0"/>
    </xf>
    <xf numFmtId="0" fontId="10" fillId="2" borderId="5" xfId="15" applyFill="1" applyBorder="1" applyAlignment="1" applyProtection="1">
      <alignment wrapText="1"/>
      <protection locked="0"/>
    </xf>
    <xf numFmtId="49" fontId="10" fillId="2" borderId="5" xfId="10" applyNumberFormat="1" applyFont="1" applyFill="1" applyBorder="1" applyAlignment="1" applyProtection="1">
      <alignment horizontal="left" wrapText="1"/>
      <protection locked="0"/>
    </xf>
    <xf numFmtId="0" fontId="10" fillId="2" borderId="5" xfId="28" applyFont="1" applyFill="1" applyBorder="1" applyAlignment="1" applyProtection="1">
      <alignment wrapText="1"/>
      <protection locked="0"/>
    </xf>
    <xf numFmtId="0" fontId="10" fillId="2" borderId="5" xfId="10" applyNumberFormat="1" applyFont="1" applyFill="1" applyBorder="1" applyAlignment="1" applyProtection="1">
      <alignment wrapText="1"/>
      <protection locked="0"/>
    </xf>
    <xf numFmtId="10" fontId="10" fillId="2" borderId="5" xfId="10" applyNumberFormat="1" applyFont="1" applyFill="1" applyBorder="1" applyAlignment="1" applyProtection="1">
      <alignment wrapText="1"/>
      <protection locked="0"/>
    </xf>
    <xf numFmtId="0" fontId="5" fillId="0" borderId="5" xfId="0" applyFont="1" applyBorder="1" applyAlignment="1">
      <alignment wrapText="1"/>
    </xf>
    <xf numFmtId="0" fontId="5" fillId="0" borderId="7" xfId="0" applyFont="1" applyBorder="1" applyAlignment="1">
      <alignment wrapText="1"/>
    </xf>
    <xf numFmtId="0" fontId="5" fillId="2" borderId="5" xfId="0" applyFont="1" applyFill="1" applyBorder="1" applyAlignment="1" applyProtection="1">
      <alignment horizontal="left" wrapText="1"/>
      <protection locked="0"/>
    </xf>
    <xf numFmtId="0" fontId="5" fillId="0" borderId="13" xfId="18" applyFont="1" applyBorder="1" applyAlignment="1">
      <alignment vertical="top" wrapText="1"/>
    </xf>
    <xf numFmtId="37" fontId="5" fillId="0" borderId="4" xfId="0" applyNumberFormat="1" applyFont="1" applyBorder="1" applyAlignment="1">
      <alignment vertical="top" wrapText="1"/>
    </xf>
    <xf numFmtId="3" fontId="7" fillId="0" borderId="0" xfId="1" applyNumberFormat="1" applyFont="1" applyBorder="1" applyAlignment="1" applyProtection="1">
      <alignment horizontal="center" wrapText="1"/>
    </xf>
    <xf numFmtId="0" fontId="10" fillId="0" borderId="5" xfId="16" applyBorder="1"/>
    <xf numFmtId="0" fontId="5" fillId="2" borderId="5" xfId="0" applyFont="1" applyFill="1" applyBorder="1" applyAlignment="1" applyProtection="1">
      <alignment horizontal="center" vertical="top" wrapText="1"/>
      <protection locked="0"/>
    </xf>
    <xf numFmtId="0" fontId="53" fillId="0" borderId="0" xfId="0" applyFont="1"/>
    <xf numFmtId="0" fontId="53" fillId="0" borderId="0" xfId="25" applyFont="1"/>
    <xf numFmtId="0" fontId="5" fillId="0" borderId="0" xfId="0" applyFont="1" applyAlignment="1">
      <alignment vertical="center"/>
    </xf>
    <xf numFmtId="0" fontId="5" fillId="0" borderId="16" xfId="0" applyFont="1" applyBorder="1" applyAlignment="1">
      <alignment vertical="top" wrapText="1"/>
    </xf>
    <xf numFmtId="0" fontId="61" fillId="0" borderId="5" xfId="0" applyFont="1" applyBorder="1" applyAlignment="1">
      <alignment vertical="top" wrapText="1"/>
    </xf>
    <xf numFmtId="0" fontId="34" fillId="0" borderId="5" xfId="0" applyFont="1" applyBorder="1" applyAlignment="1">
      <alignment wrapText="1"/>
    </xf>
    <xf numFmtId="3" fontId="10" fillId="0" borderId="4" xfId="16" applyNumberFormat="1" applyBorder="1"/>
    <xf numFmtId="0" fontId="10" fillId="0" borderId="0" xfId="18" applyAlignment="1">
      <alignment horizontal="center"/>
    </xf>
    <xf numFmtId="0" fontId="7" fillId="0" borderId="0" xfId="18" applyFont="1" applyAlignment="1">
      <alignment wrapText="1"/>
    </xf>
    <xf numFmtId="0" fontId="7" fillId="0" borderId="0" xfId="18" applyFont="1" applyAlignment="1">
      <alignment horizontal="center"/>
    </xf>
    <xf numFmtId="0" fontId="10" fillId="0" borderId="0" xfId="26" applyFont="1"/>
    <xf numFmtId="0" fontId="5" fillId="0" borderId="5" xfId="16" applyFont="1" applyBorder="1" applyAlignment="1">
      <alignment horizontal="center"/>
    </xf>
    <xf numFmtId="0" fontId="60" fillId="0" borderId="0" xfId="25" applyFont="1" applyAlignment="1">
      <alignment horizontal="right"/>
    </xf>
    <xf numFmtId="0" fontId="5" fillId="0" borderId="0" xfId="0" applyFont="1" applyAlignment="1">
      <alignment vertical="top" wrapText="1"/>
    </xf>
    <xf numFmtId="37" fontId="10" fillId="0" borderId="0" xfId="9" applyFont="1" applyAlignment="1">
      <alignment horizontal="left"/>
    </xf>
    <xf numFmtId="0" fontId="0" fillId="0" borderId="12" xfId="0" applyBorder="1"/>
    <xf numFmtId="0" fontId="0" fillId="0" borderId="16" xfId="0" applyBorder="1"/>
    <xf numFmtId="0" fontId="0" fillId="0" borderId="13" xfId="0" applyBorder="1"/>
    <xf numFmtId="0" fontId="5" fillId="0" borderId="12" xfId="18" applyFont="1" applyBorder="1"/>
    <xf numFmtId="37" fontId="10" fillId="0" borderId="0" xfId="10" applyFont="1" applyAlignment="1">
      <alignment wrapText="1"/>
    </xf>
    <xf numFmtId="37" fontId="10" fillId="0" borderId="0" xfId="10" applyFont="1" applyAlignment="1">
      <alignment horizontal="center" wrapText="1"/>
    </xf>
    <xf numFmtId="0" fontId="60" fillId="0" borderId="0" xfId="25" applyFont="1"/>
    <xf numFmtId="0" fontId="5" fillId="0" borderId="5" xfId="0" applyFont="1" applyBorder="1" applyAlignment="1">
      <alignment horizontal="center" wrapText="1"/>
    </xf>
    <xf numFmtId="0" fontId="10" fillId="0" borderId="0" xfId="16" applyAlignment="1">
      <alignment horizontal="center"/>
    </xf>
    <xf numFmtId="0" fontId="62" fillId="0" borderId="5" xfId="0" applyFont="1" applyBorder="1" applyAlignment="1">
      <alignment vertical="top" wrapText="1"/>
    </xf>
    <xf numFmtId="0" fontId="5" fillId="0" borderId="5" xfId="30" applyFont="1" applyBorder="1" applyAlignment="1">
      <alignment vertical="top" wrapText="1"/>
    </xf>
    <xf numFmtId="0" fontId="10" fillId="0" borderId="0" xfId="18" applyAlignment="1">
      <alignment vertical="top" wrapText="1"/>
    </xf>
    <xf numFmtId="0" fontId="5" fillId="0" borderId="0" xfId="25" applyFont="1" applyAlignment="1">
      <alignment horizontal="right"/>
    </xf>
    <xf numFmtId="0" fontId="5" fillId="0" borderId="0" xfId="25" applyFont="1" applyAlignment="1">
      <alignment wrapText="1"/>
    </xf>
    <xf numFmtId="0" fontId="5" fillId="0" borderId="0" xfId="25" applyFont="1" applyAlignment="1">
      <alignment horizontal="left" wrapText="1"/>
    </xf>
    <xf numFmtId="0" fontId="65" fillId="0" borderId="0" xfId="25" applyFont="1"/>
    <xf numFmtId="0" fontId="2" fillId="0" borderId="0" xfId="36"/>
    <xf numFmtId="0" fontId="5" fillId="0" borderId="0" xfId="18" applyFont="1"/>
    <xf numFmtId="0" fontId="5" fillId="0" borderId="7" xfId="18" applyFont="1" applyBorder="1" applyAlignment="1">
      <alignment horizontal="center" wrapText="1"/>
    </xf>
    <xf numFmtId="3" fontId="7" fillId="2" borderId="7" xfId="18" applyNumberFormat="1" applyFont="1" applyFill="1" applyBorder="1" applyAlignment="1" applyProtection="1">
      <alignment vertical="top"/>
      <protection locked="0"/>
    </xf>
    <xf numFmtId="0" fontId="5" fillId="0" borderId="10" xfId="0" applyFont="1" applyBorder="1" applyAlignment="1">
      <alignment horizontal="right" vertical="top" wrapText="1"/>
    </xf>
    <xf numFmtId="37" fontId="5" fillId="0" borderId="15" xfId="0" applyNumberFormat="1" applyFont="1" applyBorder="1" applyAlignment="1">
      <alignment vertical="top" wrapText="1"/>
    </xf>
    <xf numFmtId="0" fontId="5" fillId="0" borderId="7" xfId="18" applyFont="1" applyBorder="1" applyAlignment="1">
      <alignment horizontal="left" wrapText="1"/>
    </xf>
    <xf numFmtId="0" fontId="5" fillId="0" borderId="8" xfId="18" applyFont="1" applyBorder="1" applyAlignment="1">
      <alignment horizontal="center" wrapText="1"/>
    </xf>
    <xf numFmtId="37" fontId="5" fillId="0" borderId="0" xfId="0" applyNumberFormat="1" applyFont="1" applyAlignment="1">
      <alignment vertical="top" wrapText="1"/>
    </xf>
    <xf numFmtId="0" fontId="7" fillId="5" borderId="0" xfId="18" applyFont="1" applyFill="1" applyAlignment="1">
      <alignment horizontal="center" wrapText="1"/>
    </xf>
    <xf numFmtId="0" fontId="5" fillId="5" borderId="11" xfId="0" applyFont="1" applyFill="1" applyBorder="1" applyAlignment="1">
      <alignment wrapText="1"/>
    </xf>
    <xf numFmtId="0" fontId="5" fillId="0" borderId="5" xfId="18" applyFont="1" applyBorder="1" applyAlignment="1">
      <alignment horizontal="center" vertical="top" wrapText="1"/>
    </xf>
    <xf numFmtId="0" fontId="5" fillId="0" borderId="7" xfId="18" applyFont="1" applyBorder="1" applyAlignment="1">
      <alignment horizontal="center" vertical="top" wrapText="1"/>
    </xf>
    <xf numFmtId="0" fontId="5" fillId="0" borderId="14" xfId="18" applyFont="1" applyBorder="1" applyAlignment="1">
      <alignment horizontal="center" vertical="top" wrapText="1"/>
    </xf>
    <xf numFmtId="0" fontId="5" fillId="0" borderId="8" xfId="18" applyFont="1" applyBorder="1" applyAlignment="1">
      <alignment horizontal="center" vertical="top" wrapText="1"/>
    </xf>
    <xf numFmtId="0" fontId="5" fillId="0" borderId="21" xfId="18" applyFont="1" applyBorder="1" applyAlignment="1">
      <alignment horizontal="center" vertical="top" wrapText="1"/>
    </xf>
    <xf numFmtId="0" fontId="5" fillId="0" borderId="6" xfId="18" applyFont="1" applyBorder="1" applyAlignment="1">
      <alignment horizontal="center" vertical="top" wrapText="1"/>
    </xf>
    <xf numFmtId="0" fontId="5" fillId="5" borderId="5" xfId="0" quotePrefix="1" applyFont="1" applyFill="1" applyBorder="1" applyAlignment="1">
      <alignment wrapText="1"/>
    </xf>
    <xf numFmtId="0" fontId="5" fillId="0" borderId="5" xfId="18" applyFont="1" applyBorder="1" applyAlignment="1">
      <alignment horizontal="center" wrapText="1"/>
    </xf>
    <xf numFmtId="0" fontId="5" fillId="2" borderId="7" xfId="18" applyFont="1" applyFill="1" applyBorder="1" applyAlignment="1" applyProtection="1">
      <alignment horizontal="left" vertical="top" wrapText="1"/>
      <protection locked="0"/>
    </xf>
    <xf numFmtId="0" fontId="5" fillId="0" borderId="21" xfId="0" applyFont="1" applyBorder="1" applyAlignment="1">
      <alignment horizontal="center" vertical="top" wrapText="1"/>
    </xf>
    <xf numFmtId="0" fontId="61" fillId="0" borderId="0" xfId="36" applyFont="1"/>
    <xf numFmtId="3" fontId="5" fillId="0" borderId="6" xfId="18" applyNumberFormat="1" applyFont="1" applyBorder="1" applyAlignment="1">
      <alignment vertical="top"/>
    </xf>
    <xf numFmtId="0" fontId="2" fillId="0" borderId="5" xfId="36" applyBorder="1" applyAlignment="1">
      <alignment vertical="top" wrapText="1"/>
    </xf>
    <xf numFmtId="0" fontId="5" fillId="6" borderId="5" xfId="18" applyFont="1" applyFill="1" applyBorder="1" applyAlignment="1" applyProtection="1">
      <alignment vertical="top" wrapText="1"/>
      <protection locked="0"/>
    </xf>
    <xf numFmtId="0" fontId="10" fillId="2" borderId="6" xfId="0" applyFont="1" applyFill="1" applyBorder="1" applyAlignment="1" applyProtection="1">
      <alignment vertical="top" wrapText="1"/>
      <protection locked="0"/>
    </xf>
    <xf numFmtId="0" fontId="7" fillId="0" borderId="10" xfId="18" applyFont="1" applyBorder="1" applyAlignment="1">
      <alignment vertical="top" wrapText="1"/>
    </xf>
    <xf numFmtId="37" fontId="57" fillId="0" borderId="0" xfId="10" applyFont="1" applyAlignment="1">
      <alignment vertical="center" wrapText="1"/>
    </xf>
    <xf numFmtId="165" fontId="13" fillId="2" borderId="5" xfId="1" quotePrefix="1" applyNumberFormat="1" applyFont="1" applyFill="1" applyBorder="1" applyProtection="1">
      <protection locked="0"/>
    </xf>
    <xf numFmtId="0" fontId="23" fillId="0" borderId="15" xfId="0" applyFont="1" applyBorder="1" applyAlignment="1">
      <alignment vertical="top" wrapText="1"/>
    </xf>
    <xf numFmtId="0" fontId="23" fillId="0" borderId="15" xfId="0" applyFont="1" applyBorder="1" applyAlignment="1">
      <alignment horizontal="center" vertical="top" wrapText="1"/>
    </xf>
    <xf numFmtId="0" fontId="25" fillId="0" borderId="15" xfId="0" applyFont="1" applyBorder="1" applyAlignment="1">
      <alignment vertical="top" wrapText="1"/>
    </xf>
    <xf numFmtId="0" fontId="10" fillId="0" borderId="15" xfId="0" applyFont="1" applyBorder="1" applyAlignment="1">
      <alignment vertical="top" wrapText="1"/>
    </xf>
    <xf numFmtId="0" fontId="10" fillId="0" borderId="15" xfId="0" applyFont="1" applyBorder="1" applyAlignment="1">
      <alignment horizontal="left" vertical="top" wrapText="1"/>
    </xf>
    <xf numFmtId="0" fontId="10" fillId="0" borderId="15" xfId="0" applyFont="1" applyBorder="1" applyAlignment="1">
      <alignment horizontal="center" vertical="top" wrapText="1"/>
    </xf>
    <xf numFmtId="165" fontId="13" fillId="2" borderId="5" xfId="1" applyNumberFormat="1" applyFont="1" applyFill="1" applyBorder="1" applyAlignment="1" applyProtection="1">
      <protection locked="0"/>
    </xf>
    <xf numFmtId="165" fontId="5" fillId="0" borderId="0" xfId="1" applyNumberFormat="1" applyFont="1" applyAlignment="1" applyProtection="1">
      <alignment vertical="top" wrapText="1"/>
    </xf>
    <xf numFmtId="3" fontId="5" fillId="0" borderId="6" xfId="18" applyNumberFormat="1" applyFont="1" applyBorder="1" applyAlignment="1">
      <alignment vertical="top" wrapText="1"/>
    </xf>
    <xf numFmtId="3" fontId="5" fillId="0" borderId="5" xfId="18" applyNumberFormat="1" applyFont="1" applyBorder="1" applyAlignment="1">
      <alignment vertical="top" wrapText="1"/>
    </xf>
    <xf numFmtId="3" fontId="5" fillId="0" borderId="17" xfId="18" applyNumberFormat="1" applyFont="1" applyBorder="1" applyAlignment="1">
      <alignment horizontal="right" vertical="top" wrapText="1"/>
    </xf>
    <xf numFmtId="3" fontId="7" fillId="0" borderId="3" xfId="18" applyNumberFormat="1" applyFont="1" applyBorder="1" applyAlignment="1">
      <alignment vertical="top"/>
    </xf>
    <xf numFmtId="0" fontId="5" fillId="0" borderId="7" xfId="18" applyFont="1" applyBorder="1" applyAlignment="1">
      <alignment vertical="top" wrapText="1"/>
    </xf>
    <xf numFmtId="0" fontId="61" fillId="0" borderId="5" xfId="36" applyFont="1" applyBorder="1" applyAlignment="1">
      <alignment vertical="top" wrapText="1"/>
    </xf>
    <xf numFmtId="37" fontId="10" fillId="0" borderId="0" xfId="9" applyFont="1" applyAlignment="1">
      <alignment horizontal="center"/>
    </xf>
    <xf numFmtId="37" fontId="10" fillId="0" borderId="0" xfId="9" quotePrefix="1" applyFont="1" applyAlignment="1">
      <alignment horizontal="center"/>
    </xf>
    <xf numFmtId="37" fontId="10" fillId="0" borderId="0" xfId="9" quotePrefix="1" applyFont="1" applyAlignment="1">
      <alignment horizontal="right"/>
    </xf>
    <xf numFmtId="37" fontId="10" fillId="0" borderId="0" xfId="9" quotePrefix="1" applyFont="1"/>
    <xf numFmtId="0" fontId="5" fillId="0" borderId="11" xfId="0" applyFont="1" applyBorder="1" applyAlignment="1">
      <alignment vertical="top" wrapText="1"/>
    </xf>
    <xf numFmtId="0" fontId="5" fillId="0" borderId="7" xfId="30" applyFont="1" applyBorder="1" applyAlignment="1">
      <alignment vertical="top" wrapText="1"/>
    </xf>
    <xf numFmtId="0" fontId="5" fillId="2" borderId="6" xfId="18" applyFont="1" applyFill="1" applyBorder="1" applyAlignment="1" applyProtection="1">
      <alignment horizontal="center" vertical="top" wrapText="1"/>
      <protection locked="0"/>
    </xf>
    <xf numFmtId="38" fontId="10" fillId="0" borderId="0" xfId="28" applyNumberFormat="1" applyFont="1"/>
    <xf numFmtId="0" fontId="10" fillId="6" borderId="5" xfId="23" applyFill="1" applyBorder="1" applyAlignment="1" applyProtection="1">
      <alignment horizontal="center" wrapText="1"/>
      <protection locked="0"/>
    </xf>
    <xf numFmtId="0" fontId="23" fillId="2" borderId="5" xfId="28" applyFont="1" applyFill="1" applyBorder="1" applyAlignment="1" applyProtection="1">
      <alignment wrapText="1"/>
      <protection locked="0"/>
    </xf>
    <xf numFmtId="0" fontId="4" fillId="0" borderId="0" xfId="8" applyFont="1"/>
    <xf numFmtId="0" fontId="5" fillId="0" borderId="0" xfId="8" applyFont="1"/>
    <xf numFmtId="0" fontId="69" fillId="0" borderId="0" xfId="8" applyFont="1"/>
    <xf numFmtId="0" fontId="5" fillId="0" borderId="0" xfId="8" applyFont="1" applyAlignment="1">
      <alignment horizontal="left"/>
    </xf>
    <xf numFmtId="0" fontId="5" fillId="0" borderId="0" xfId="8" applyFont="1" applyAlignment="1">
      <alignment horizontal="center" wrapText="1"/>
    </xf>
    <xf numFmtId="0" fontId="5" fillId="0" borderId="0" xfId="35" applyFont="1"/>
    <xf numFmtId="0" fontId="5" fillId="0" borderId="0" xfId="35" applyFont="1" applyAlignment="1">
      <alignment horizontal="center" vertical="top" wrapText="1"/>
    </xf>
    <xf numFmtId="0" fontId="5" fillId="2" borderId="5" xfId="35" applyFont="1" applyFill="1" applyBorder="1" applyAlignment="1" applyProtection="1">
      <alignment horizontal="center" vertical="top" wrapText="1"/>
      <protection locked="0"/>
    </xf>
    <xf numFmtId="0" fontId="5" fillId="0" borderId="0" xfId="35" applyFont="1" applyAlignment="1">
      <alignment vertical="top" wrapText="1"/>
    </xf>
    <xf numFmtId="0" fontId="4" fillId="0" borderId="0" xfId="35" applyFont="1" applyAlignment="1">
      <alignment vertical="top" wrapText="1"/>
    </xf>
    <xf numFmtId="0" fontId="5" fillId="0" borderId="0" xfId="35" applyFont="1" applyAlignment="1">
      <alignment horizontal="center" vertical="top"/>
    </xf>
    <xf numFmtId="0" fontId="5" fillId="0" borderId="0" xfId="35" applyFont="1" applyAlignment="1">
      <alignment vertical="top"/>
    </xf>
    <xf numFmtId="0" fontId="5" fillId="0" borderId="11" xfId="8" applyFont="1" applyBorder="1" applyAlignment="1">
      <alignment horizontal="center" vertical="top" wrapText="1"/>
    </xf>
    <xf numFmtId="0" fontId="5" fillId="0" borderId="0" xfId="8" applyFont="1" applyAlignment="1">
      <alignment horizontal="justify" wrapText="1"/>
    </xf>
    <xf numFmtId="0" fontId="4" fillId="0" borderId="0" xfId="8" applyFont="1" applyAlignment="1">
      <alignment horizontal="right"/>
    </xf>
    <xf numFmtId="0" fontId="4" fillId="0" borderId="0" xfId="35" applyFont="1"/>
    <xf numFmtId="0" fontId="5" fillId="0" borderId="0" xfId="18" applyFont="1" applyAlignment="1">
      <alignment horizontal="right" vertical="top"/>
    </xf>
    <xf numFmtId="170" fontId="5" fillId="2" borderId="5" xfId="35" applyNumberFormat="1" applyFont="1" applyFill="1" applyBorder="1" applyProtection="1">
      <protection locked="0"/>
    </xf>
    <xf numFmtId="170" fontId="5" fillId="0" borderId="0" xfId="35" applyNumberFormat="1" applyFont="1"/>
    <xf numFmtId="38" fontId="5" fillId="0" borderId="0" xfId="28" applyNumberFormat="1" applyFont="1"/>
    <xf numFmtId="0" fontId="5" fillId="0" borderId="0" xfId="38" applyFont="1" applyAlignment="1">
      <alignment vertical="top"/>
    </xf>
    <xf numFmtId="0" fontId="5" fillId="0" borderId="0" xfId="28" applyFont="1" applyAlignment="1">
      <alignment vertical="top"/>
    </xf>
    <xf numFmtId="0" fontId="5" fillId="0" borderId="0" xfId="8" applyFont="1" applyAlignment="1">
      <alignment vertical="top"/>
    </xf>
    <xf numFmtId="0" fontId="23" fillId="2" borderId="5" xfId="16" applyFont="1" applyFill="1" applyBorder="1" applyAlignment="1" applyProtection="1">
      <alignment horizontal="center" wrapText="1"/>
      <protection locked="0"/>
    </xf>
    <xf numFmtId="165" fontId="13" fillId="2" borderId="5" xfId="1" applyNumberFormat="1" applyFont="1" applyFill="1" applyBorder="1" applyProtection="1"/>
    <xf numFmtId="0" fontId="10" fillId="2" borderId="5" xfId="0" applyFont="1" applyFill="1" applyBorder="1" applyAlignment="1">
      <alignment wrapText="1"/>
    </xf>
    <xf numFmtId="0" fontId="23" fillId="2" borderId="5" xfId="28" applyFont="1" applyFill="1" applyBorder="1" applyAlignment="1">
      <alignment horizontal="center" wrapText="1"/>
    </xf>
    <xf numFmtId="37" fontId="23" fillId="2" borderId="5" xfId="10" applyFont="1" applyFill="1" applyBorder="1"/>
    <xf numFmtId="0" fontId="34" fillId="2" borderId="5" xfId="24" applyFont="1" applyFill="1" applyBorder="1" applyAlignment="1">
      <alignment wrapText="1"/>
    </xf>
    <xf numFmtId="3" fontId="23" fillId="2" borderId="5" xfId="10" applyNumberFormat="1" applyFont="1" applyFill="1" applyBorder="1" applyAlignment="1">
      <alignment vertical="top"/>
    </xf>
    <xf numFmtId="0" fontId="5" fillId="0" borderId="0" xfId="16" applyFont="1" applyAlignment="1">
      <alignment horizontal="right" wrapText="1"/>
    </xf>
    <xf numFmtId="0" fontId="5" fillId="0" borderId="13" xfId="0" applyFont="1" applyBorder="1" applyAlignment="1">
      <alignment vertical="top" wrapText="1"/>
    </xf>
    <xf numFmtId="0" fontId="0" fillId="0" borderId="5" xfId="0" applyBorder="1"/>
    <xf numFmtId="0" fontId="0" fillId="0" borderId="0" xfId="0" applyAlignment="1">
      <alignment wrapText="1"/>
    </xf>
    <xf numFmtId="37" fontId="10" fillId="0" borderId="0" xfId="9" applyFont="1" applyAlignment="1">
      <alignment horizontal="right"/>
    </xf>
    <xf numFmtId="0" fontId="0" fillId="0" borderId="5" xfId="0" applyBorder="1" applyAlignment="1">
      <alignment vertical="top" wrapText="1"/>
    </xf>
    <xf numFmtId="165" fontId="13" fillId="0" borderId="5" xfId="1" applyNumberFormat="1" applyFont="1" applyFill="1" applyBorder="1" applyAlignment="1" applyProtection="1">
      <alignment vertical="top" wrapText="1"/>
    </xf>
    <xf numFmtId="37" fontId="10" fillId="0" borderId="0" xfId="10" applyFont="1" applyAlignment="1">
      <alignment vertical="top"/>
    </xf>
    <xf numFmtId="0" fontId="10" fillId="0" borderId="0" xfId="15"/>
    <xf numFmtId="0" fontId="68" fillId="0" borderId="0" xfId="25" applyFont="1" applyAlignment="1">
      <alignment horizontal="right"/>
    </xf>
    <xf numFmtId="0" fontId="68" fillId="0" borderId="0" xfId="25" applyFont="1" applyAlignment="1">
      <alignment horizontal="right" wrapText="1"/>
    </xf>
    <xf numFmtId="3" fontId="7" fillId="6" borderId="5" xfId="1" applyNumberFormat="1" applyFont="1" applyFill="1" applyBorder="1" applyProtection="1"/>
    <xf numFmtId="3" fontId="5" fillId="6" borderId="5" xfId="1" applyNumberFormat="1" applyFont="1" applyFill="1" applyBorder="1" applyProtection="1"/>
    <xf numFmtId="165" fontId="45" fillId="0" borderId="0" xfId="1" applyNumberFormat="1" applyFont="1" applyAlignment="1" applyProtection="1">
      <alignment horizontal="center" wrapText="1"/>
    </xf>
    <xf numFmtId="165" fontId="45" fillId="0" borderId="0" xfId="1" applyNumberFormat="1" applyFont="1" applyAlignment="1" applyProtection="1">
      <alignment wrapText="1"/>
    </xf>
    <xf numFmtId="165" fontId="45" fillId="0" borderId="0" xfId="1" applyNumberFormat="1" applyFont="1" applyProtection="1"/>
    <xf numFmtId="3" fontId="45" fillId="0" borderId="3" xfId="1" applyNumberFormat="1" applyFont="1" applyFill="1" applyBorder="1" applyProtection="1"/>
    <xf numFmtId="165" fontId="45" fillId="0" borderId="3" xfId="1" applyNumberFormat="1" applyFont="1" applyFill="1" applyBorder="1" applyProtection="1"/>
    <xf numFmtId="165" fontId="45" fillId="0" borderId="3" xfId="1" applyNumberFormat="1" applyFont="1" applyBorder="1" applyProtection="1"/>
    <xf numFmtId="165" fontId="45" fillId="0" borderId="0" xfId="1" applyNumberFormat="1" applyFont="1" applyFill="1" applyProtection="1"/>
    <xf numFmtId="165" fontId="45" fillId="0" borderId="2" xfId="1" applyNumberFormat="1" applyFont="1" applyFill="1" applyBorder="1" applyProtection="1"/>
    <xf numFmtId="3" fontId="45" fillId="0" borderId="0" xfId="1" applyNumberFormat="1" applyFont="1" applyFill="1" applyProtection="1"/>
    <xf numFmtId="3" fontId="45" fillId="0" borderId="4" xfId="1" applyNumberFormat="1" applyFont="1" applyBorder="1" applyProtection="1"/>
    <xf numFmtId="0" fontId="5" fillId="6" borderId="5" xfId="18" applyFont="1" applyFill="1" applyBorder="1" applyAlignment="1" applyProtection="1">
      <alignment horizontal="left" vertical="top" wrapText="1"/>
      <protection locked="0"/>
    </xf>
    <xf numFmtId="0" fontId="4" fillId="0" borderId="0" xfId="18" applyFont="1" applyAlignment="1">
      <alignment horizontal="left" vertical="top"/>
    </xf>
    <xf numFmtId="0" fontId="4" fillId="0" borderId="0" xfId="18" applyFont="1" applyAlignment="1">
      <alignment horizontal="left"/>
    </xf>
    <xf numFmtId="164" fontId="4" fillId="0" borderId="0" xfId="18" applyNumberFormat="1" applyFont="1" applyAlignment="1">
      <alignment horizontal="left"/>
    </xf>
    <xf numFmtId="164" fontId="4" fillId="0" borderId="0" xfId="16" applyNumberFormat="1" applyFont="1" applyAlignment="1">
      <alignment horizontal="left"/>
    </xf>
    <xf numFmtId="37" fontId="10" fillId="0" borderId="0" xfId="10" applyFont="1"/>
    <xf numFmtId="37" fontId="25" fillId="0" borderId="0" xfId="10" applyFont="1"/>
    <xf numFmtId="37" fontId="10" fillId="2" borderId="5" xfId="10" applyFont="1" applyFill="1" applyBorder="1" applyAlignment="1" applyProtection="1">
      <alignment wrapText="1"/>
      <protection locked="0"/>
    </xf>
    <xf numFmtId="3" fontId="10" fillId="2" borderId="5" xfId="1" applyNumberFormat="1" applyFont="1" applyFill="1" applyBorder="1" applyProtection="1">
      <protection locked="0"/>
    </xf>
    <xf numFmtId="0" fontId="5" fillId="0" borderId="0" xfId="18" applyFont="1" applyAlignment="1">
      <alignment vertical="top"/>
    </xf>
    <xf numFmtId="0" fontId="32" fillId="0" borderId="0" xfId="28" applyFont="1"/>
    <xf numFmtId="0" fontId="10" fillId="0" borderId="0" xfId="28" applyFont="1"/>
    <xf numFmtId="0" fontId="10" fillId="0" borderId="0" xfId="24"/>
    <xf numFmtId="0" fontId="10" fillId="0" borderId="2" xfId="24" applyBorder="1" applyAlignment="1">
      <alignment wrapText="1"/>
    </xf>
    <xf numFmtId="41" fontId="13" fillId="0" borderId="0" xfId="1" applyNumberFormat="1" applyFont="1" applyFill="1" applyBorder="1" applyAlignment="1" applyProtection="1">
      <alignment horizontal="right"/>
    </xf>
    <xf numFmtId="3" fontId="5" fillId="0" borderId="3" xfId="1" applyNumberFormat="1" applyFont="1" applyFill="1" applyBorder="1" applyAlignment="1" applyProtection="1">
      <alignment horizontal="right"/>
    </xf>
    <xf numFmtId="3" fontId="16" fillId="0" borderId="0" xfId="18" applyNumberFormat="1" applyFont="1" applyAlignment="1">
      <alignment vertical="top" wrapText="1"/>
    </xf>
    <xf numFmtId="0" fontId="15" fillId="0" borderId="12" xfId="28" applyFont="1" applyBorder="1"/>
    <xf numFmtId="0" fontId="16" fillId="0" borderId="0" xfId="18" applyFont="1" applyAlignment="1">
      <alignment horizontal="right" vertical="top"/>
    </xf>
    <xf numFmtId="3" fontId="16" fillId="0" borderId="0" xfId="18" applyNumberFormat="1" applyFont="1" applyAlignment="1">
      <alignment horizontal="right" vertical="top" wrapText="1"/>
    </xf>
    <xf numFmtId="0" fontId="4" fillId="0" borderId="0" xfId="28" applyFont="1" applyAlignment="1">
      <alignment horizontal="left" vertical="top" wrapText="1"/>
    </xf>
    <xf numFmtId="0" fontId="10" fillId="2" borderId="5" xfId="9" applyNumberFormat="1" applyFont="1" applyFill="1" applyBorder="1" applyProtection="1">
      <protection locked="0"/>
    </xf>
    <xf numFmtId="0" fontId="5" fillId="0" borderId="0" xfId="18" applyFont="1" applyAlignment="1">
      <alignment wrapText="1"/>
    </xf>
    <xf numFmtId="0" fontId="5" fillId="0" borderId="0" xfId="18" applyFont="1" applyAlignment="1">
      <alignment horizontal="left" wrapText="1"/>
    </xf>
    <xf numFmtId="0" fontId="13" fillId="0" borderId="0" xfId="26" applyFont="1" applyAlignment="1">
      <alignment wrapText="1"/>
    </xf>
    <xf numFmtId="165" fontId="13" fillId="0" borderId="2" xfId="1" applyNumberFormat="1" applyFont="1" applyBorder="1" applyAlignment="1" applyProtection="1">
      <alignment horizontal="center" vertical="center"/>
    </xf>
    <xf numFmtId="0" fontId="5" fillId="0" borderId="0" xfId="18" applyFont="1" applyAlignment="1">
      <alignment horizontal="left" vertical="top" wrapText="1"/>
    </xf>
    <xf numFmtId="0" fontId="5" fillId="0" borderId="14" xfId="18" applyFont="1" applyBorder="1" applyAlignment="1">
      <alignment horizontal="center" wrapText="1"/>
    </xf>
    <xf numFmtId="0" fontId="5" fillId="0" borderId="10" xfId="0" applyFont="1" applyBorder="1" applyAlignment="1">
      <alignment horizontal="center" vertical="top" wrapText="1"/>
    </xf>
    <xf numFmtId="0" fontId="5" fillId="0" borderId="12" xfId="0" applyFont="1" applyBorder="1" applyAlignment="1">
      <alignment horizontal="right" vertical="top" wrapText="1"/>
    </xf>
    <xf numFmtId="0" fontId="5" fillId="0" borderId="10" xfId="18" applyFont="1" applyBorder="1" applyAlignment="1">
      <alignment horizontal="right" vertical="top" wrapText="1"/>
    </xf>
    <xf numFmtId="0" fontId="5" fillId="0" borderId="5" xfId="18" applyFont="1" applyBorder="1" applyAlignment="1">
      <alignment vertical="center" wrapText="1"/>
    </xf>
    <xf numFmtId="0" fontId="10" fillId="0" borderId="0" xfId="28" applyFont="1" applyAlignment="1">
      <alignment wrapText="1"/>
    </xf>
    <xf numFmtId="0" fontId="5" fillId="2" borderId="5" xfId="0" applyFont="1" applyFill="1" applyBorder="1" applyAlignment="1" applyProtection="1">
      <alignment horizontal="center" wrapText="1"/>
      <protection locked="0"/>
    </xf>
    <xf numFmtId="3" fontId="57" fillId="0" borderId="0" xfId="1" applyNumberFormat="1" applyFont="1" applyProtection="1"/>
    <xf numFmtId="3" fontId="7" fillId="6" borderId="17" xfId="1" applyNumberFormat="1" applyFont="1" applyFill="1" applyBorder="1" applyProtection="1"/>
    <xf numFmtId="3" fontId="5" fillId="6" borderId="17" xfId="1" applyNumberFormat="1" applyFont="1" applyFill="1" applyBorder="1" applyProtection="1"/>
    <xf numFmtId="3" fontId="13" fillId="6" borderId="5" xfId="1" applyNumberFormat="1" applyFont="1" applyFill="1" applyBorder="1" applyAlignment="1" applyProtection="1">
      <alignment horizontal="right"/>
    </xf>
    <xf numFmtId="0" fontId="5" fillId="2" borderId="5" xfId="18" applyFont="1" applyFill="1" applyBorder="1" applyAlignment="1" applyProtection="1">
      <alignment horizontal="center" vertical="top" wrapText="1"/>
      <protection locked="0"/>
    </xf>
    <xf numFmtId="3" fontId="23" fillId="0" borderId="0" xfId="1" applyNumberFormat="1" applyFont="1" applyBorder="1" applyProtection="1"/>
    <xf numFmtId="0" fontId="10" fillId="0" borderId="5" xfId="16" applyBorder="1" applyAlignment="1">
      <alignment horizontal="center" wrapText="1"/>
    </xf>
    <xf numFmtId="3" fontId="10" fillId="0" borderId="5" xfId="1" applyNumberFormat="1" applyFont="1" applyFill="1" applyBorder="1" applyAlignment="1" applyProtection="1">
      <alignment horizontal="right"/>
    </xf>
    <xf numFmtId="3" fontId="5" fillId="2" borderId="5" xfId="18" applyNumberFormat="1" applyFont="1" applyFill="1" applyBorder="1" applyAlignment="1" applyProtection="1">
      <alignment vertical="top"/>
      <protection locked="0"/>
    </xf>
    <xf numFmtId="3" fontId="10" fillId="2" borderId="5" xfId="15" applyNumberFormat="1" applyFill="1" applyBorder="1" applyProtection="1">
      <protection locked="0"/>
    </xf>
    <xf numFmtId="0" fontId="5" fillId="0" borderId="0" xfId="15" applyFont="1"/>
    <xf numFmtId="3" fontId="10" fillId="2" borderId="5" xfId="23" applyNumberFormat="1" applyFill="1" applyBorder="1" applyAlignment="1">
      <alignment horizontal="right" wrapText="1"/>
    </xf>
    <xf numFmtId="0" fontId="10" fillId="2" borderId="5" xfId="23" applyFill="1" applyBorder="1" applyAlignment="1">
      <alignment wrapText="1"/>
    </xf>
    <xf numFmtId="0" fontId="7" fillId="0" borderId="2" xfId="28" applyFont="1" applyBorder="1" applyAlignment="1">
      <alignment wrapText="1"/>
    </xf>
    <xf numFmtId="169" fontId="10" fillId="2" borderId="5" xfId="16" quotePrefix="1" applyNumberFormat="1" applyFill="1" applyBorder="1" applyAlignment="1" applyProtection="1">
      <alignment horizontal="left"/>
      <protection locked="0"/>
    </xf>
    <xf numFmtId="3" fontId="7" fillId="0" borderId="0" xfId="1" applyNumberFormat="1" applyFont="1" applyFill="1" applyBorder="1" applyProtection="1">
      <protection locked="0"/>
    </xf>
    <xf numFmtId="0" fontId="7" fillId="2" borderId="6" xfId="18" applyFont="1" applyFill="1" applyBorder="1" applyAlignment="1">
      <alignment horizontal="center" vertical="top" wrapText="1"/>
    </xf>
    <xf numFmtId="3" fontId="7" fillId="2" borderId="5" xfId="18" applyNumberFormat="1" applyFont="1" applyFill="1" applyBorder="1" applyAlignment="1">
      <alignment vertical="top"/>
    </xf>
    <xf numFmtId="0" fontId="5" fillId="2" borderId="5" xfId="0" applyFont="1" applyFill="1" applyBorder="1" applyAlignment="1">
      <alignment horizontal="center"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center" vertical="top" wrapText="1"/>
    </xf>
    <xf numFmtId="0" fontId="7" fillId="2" borderId="5" xfId="18" applyFont="1" applyFill="1" applyBorder="1" applyAlignment="1">
      <alignment horizontal="center" vertical="top" wrapText="1"/>
    </xf>
    <xf numFmtId="0" fontId="7" fillId="2" borderId="5" xfId="0" applyFont="1" applyFill="1" applyBorder="1" applyAlignment="1">
      <alignment horizontal="center" vertical="top" wrapText="1"/>
    </xf>
    <xf numFmtId="0" fontId="5" fillId="2" borderId="5" xfId="30" applyFont="1" applyFill="1" applyBorder="1" applyAlignment="1">
      <alignment horizontal="left" vertical="top" wrapText="1"/>
    </xf>
    <xf numFmtId="0" fontId="5" fillId="2" borderId="7" xfId="30" applyFont="1" applyFill="1" applyBorder="1" applyAlignment="1">
      <alignment vertical="top" wrapText="1"/>
    </xf>
    <xf numFmtId="0" fontId="5" fillId="2" borderId="6" xfId="30" applyFont="1" applyFill="1" applyBorder="1" applyAlignment="1">
      <alignment horizontal="left" vertical="top" wrapText="1"/>
    </xf>
    <xf numFmtId="0" fontId="5" fillId="2" borderId="5" xfId="30" applyFont="1" applyFill="1" applyBorder="1" applyAlignment="1">
      <alignment vertical="top" wrapText="1"/>
    </xf>
    <xf numFmtId="3" fontId="7" fillId="2" borderId="5" xfId="30" applyNumberFormat="1" applyFont="1" applyFill="1" applyBorder="1" applyAlignment="1">
      <alignment vertical="top" wrapText="1"/>
    </xf>
    <xf numFmtId="3" fontId="7" fillId="2" borderId="7" xfId="18" applyNumberFormat="1" applyFont="1" applyFill="1" applyBorder="1" applyAlignment="1">
      <alignment vertical="top"/>
    </xf>
    <xf numFmtId="0" fontId="5" fillId="0" borderId="7" xfId="18" applyFont="1" applyBorder="1" applyAlignment="1">
      <alignment horizontal="left" vertical="top" wrapText="1"/>
    </xf>
    <xf numFmtId="0" fontId="5" fillId="0" borderId="8" xfId="30" applyFont="1" applyBorder="1" applyAlignment="1">
      <alignment vertical="top" wrapText="1"/>
    </xf>
    <xf numFmtId="3" fontId="23" fillId="6" borderId="5" xfId="1" applyNumberFormat="1" applyFont="1" applyFill="1" applyBorder="1" applyProtection="1"/>
    <xf numFmtId="171" fontId="10" fillId="0" borderId="5" xfId="10" quotePrefix="1" applyNumberFormat="1" applyFont="1" applyBorder="1" applyAlignment="1">
      <alignment horizontal="right"/>
    </xf>
    <xf numFmtId="0" fontId="53" fillId="0" borderId="0" xfId="0" applyFont="1" applyAlignment="1">
      <alignment horizontal="right"/>
    </xf>
    <xf numFmtId="41" fontId="5" fillId="0" borderId="5" xfId="16" applyNumberFormat="1" applyFont="1" applyBorder="1" applyAlignment="1">
      <alignment horizontal="center" wrapText="1"/>
    </xf>
    <xf numFmtId="3" fontId="23" fillId="0" borderId="2" xfId="16" applyNumberFormat="1" applyFont="1" applyBorder="1"/>
    <xf numFmtId="0" fontId="5" fillId="0" borderId="10" xfId="18" applyFont="1" applyBorder="1" applyAlignment="1">
      <alignment horizontal="center" vertical="top" wrapText="1"/>
    </xf>
    <xf numFmtId="0" fontId="5" fillId="0" borderId="10" xfId="18" applyFont="1" applyBorder="1" applyAlignment="1">
      <alignment horizontal="left" vertical="top" wrapText="1"/>
    </xf>
    <xf numFmtId="0" fontId="5" fillId="0" borderId="0" xfId="0" applyFont="1" applyAlignment="1">
      <alignment horizontal="left" wrapText="1"/>
    </xf>
    <xf numFmtId="0" fontId="5" fillId="0" borderId="0" xfId="0" applyFont="1" applyAlignment="1">
      <alignment wrapText="1"/>
    </xf>
    <xf numFmtId="3" fontId="4" fillId="0" borderId="0" xfId="1" applyNumberFormat="1" applyFont="1" applyProtection="1"/>
    <xf numFmtId="3" fontId="6" fillId="0" borderId="0" xfId="1" applyNumberFormat="1" applyFont="1" applyProtection="1"/>
    <xf numFmtId="0" fontId="6" fillId="0" borderId="0" xfId="0" applyFont="1"/>
    <xf numFmtId="3" fontId="5" fillId="0" borderId="2" xfId="1" applyNumberFormat="1" applyFont="1" applyBorder="1" applyAlignment="1" applyProtection="1">
      <alignment horizontal="center" wrapText="1"/>
    </xf>
    <xf numFmtId="0" fontId="5" fillId="0" borderId="2" xfId="0" applyFont="1" applyBorder="1" applyAlignment="1">
      <alignment horizontal="center"/>
    </xf>
    <xf numFmtId="3" fontId="4" fillId="0" borderId="5" xfId="1" applyNumberFormat="1" applyFont="1" applyFill="1" applyBorder="1" applyAlignment="1" applyProtection="1">
      <alignment horizontal="center"/>
    </xf>
    <xf numFmtId="3" fontId="4" fillId="0" borderId="0" xfId="1" applyNumberFormat="1" applyFont="1" applyBorder="1" applyAlignment="1" applyProtection="1">
      <alignment horizontal="center"/>
    </xf>
    <xf numFmtId="3" fontId="4" fillId="0" borderId="5" xfId="1" applyNumberFormat="1" applyFont="1" applyBorder="1" applyAlignment="1" applyProtection="1">
      <alignment horizontal="center"/>
    </xf>
    <xf numFmtId="3" fontId="7" fillId="0" borderId="2" xfId="1" applyNumberFormat="1" applyFont="1" applyBorder="1" applyAlignment="1" applyProtection="1">
      <alignment horizontal="center" wrapText="1"/>
    </xf>
    <xf numFmtId="3" fontId="7" fillId="0" borderId="17" xfId="1" applyNumberFormat="1" applyFont="1" applyBorder="1" applyAlignment="1" applyProtection="1">
      <alignment horizontal="center" wrapText="1"/>
    </xf>
    <xf numFmtId="0" fontId="7" fillId="0" borderId="7" xfId="0" applyFont="1" applyBorder="1" applyAlignment="1">
      <alignment horizontal="center" wrapText="1"/>
    </xf>
    <xf numFmtId="0" fontId="5" fillId="0" borderId="0" xfId="0" applyFont="1" applyAlignment="1">
      <alignment horizontal="center" textRotation="90"/>
    </xf>
    <xf numFmtId="0" fontId="7" fillId="0" borderId="0" xfId="0" applyFont="1" applyAlignment="1">
      <alignment horizontal="center" wrapText="1"/>
    </xf>
    <xf numFmtId="165" fontId="7" fillId="0" borderId="0" xfId="1" applyNumberFormat="1" applyFont="1" applyAlignment="1" applyProtection="1">
      <alignment horizontal="center"/>
    </xf>
    <xf numFmtId="3" fontId="7" fillId="4" borderId="5" xfId="1" applyNumberFormat="1" applyFont="1" applyFill="1" applyBorder="1" applyProtection="1"/>
    <xf numFmtId="10" fontId="7" fillId="0" borderId="0" xfId="32" applyNumberFormat="1" applyFont="1" applyAlignment="1" applyProtection="1">
      <alignment horizontal="right"/>
    </xf>
    <xf numFmtId="165" fontId="7" fillId="0" borderId="0" xfId="1" applyNumberFormat="1" applyFont="1" applyFill="1" applyBorder="1" applyAlignment="1" applyProtection="1">
      <alignment horizontal="center"/>
    </xf>
    <xf numFmtId="10" fontId="7" fillId="0" borderId="0" xfId="32" applyNumberFormat="1" applyFont="1" applyFill="1" applyBorder="1" applyAlignment="1" applyProtection="1">
      <alignment horizontal="right"/>
    </xf>
    <xf numFmtId="165" fontId="7" fillId="0" borderId="5" xfId="1" applyNumberFormat="1" applyFont="1" applyFill="1" applyBorder="1" applyAlignment="1" applyProtection="1">
      <alignment horizontal="center"/>
    </xf>
    <xf numFmtId="3" fontId="7" fillId="0" borderId="2" xfId="1" applyNumberFormat="1" applyFont="1" applyFill="1" applyBorder="1" applyProtection="1"/>
    <xf numFmtId="10" fontId="7" fillId="0" borderId="2" xfId="32" applyNumberFormat="1" applyFont="1" applyFill="1" applyBorder="1" applyAlignment="1" applyProtection="1">
      <alignment horizontal="right"/>
    </xf>
    <xf numFmtId="165" fontId="7" fillId="0" borderId="0" xfId="1" applyNumberFormat="1" applyFont="1" applyFill="1" applyBorder="1" applyProtection="1"/>
    <xf numFmtId="10" fontId="7" fillId="0" borderId="7" xfId="32" applyNumberFormat="1" applyFont="1" applyBorder="1" applyAlignment="1" applyProtection="1">
      <alignment horizontal="right"/>
    </xf>
    <xf numFmtId="3" fontId="7" fillId="0" borderId="2" xfId="1" applyNumberFormat="1" applyFont="1" applyBorder="1" applyProtection="1"/>
    <xf numFmtId="10" fontId="7" fillId="0" borderId="3" xfId="32" applyNumberFormat="1" applyFont="1" applyBorder="1" applyAlignment="1" applyProtection="1">
      <alignment horizontal="right"/>
    </xf>
    <xf numFmtId="10" fontId="7" fillId="0" borderId="0" xfId="0" applyNumberFormat="1" applyFont="1"/>
    <xf numFmtId="10" fontId="7" fillId="0" borderId="0" xfId="1" applyNumberFormat="1" applyFont="1" applyProtection="1"/>
    <xf numFmtId="165" fontId="7" fillId="0" borderId="0" xfId="1" applyNumberFormat="1" applyFont="1" applyFill="1" applyAlignment="1" applyProtection="1">
      <alignment horizontal="center"/>
    </xf>
    <xf numFmtId="10" fontId="7" fillId="0" borderId="0" xfId="32" applyNumberFormat="1" applyFont="1" applyFill="1" applyAlignment="1" applyProtection="1">
      <alignment horizontal="right"/>
    </xf>
    <xf numFmtId="10" fontId="7" fillId="0" borderId="0" xfId="1" applyNumberFormat="1" applyFont="1" applyBorder="1" applyProtection="1"/>
    <xf numFmtId="3" fontId="7" fillId="4" borderId="17" xfId="1" applyNumberFormat="1" applyFont="1" applyFill="1" applyBorder="1" applyProtection="1"/>
    <xf numFmtId="165" fontId="16" fillId="0" borderId="0" xfId="1" applyNumberFormat="1" applyFont="1" applyProtection="1"/>
    <xf numFmtId="3" fontId="16" fillId="0" borderId="8" xfId="1" applyNumberFormat="1" applyFont="1" applyBorder="1" applyProtection="1"/>
    <xf numFmtId="3" fontId="16" fillId="0" borderId="6" xfId="1" applyNumberFormat="1" applyFont="1" applyBorder="1" applyProtection="1"/>
    <xf numFmtId="10" fontId="7" fillId="0" borderId="0" xfId="32" applyNumberFormat="1" applyFont="1" applyBorder="1" applyAlignment="1" applyProtection="1">
      <alignment horizontal="right"/>
    </xf>
    <xf numFmtId="165" fontId="7" fillId="0" borderId="2" xfId="1" applyNumberFormat="1" applyFont="1" applyFill="1" applyBorder="1" applyAlignment="1" applyProtection="1">
      <alignment horizontal="center"/>
    </xf>
    <xf numFmtId="165" fontId="7" fillId="0" borderId="0" xfId="1" applyNumberFormat="1" applyFont="1" applyBorder="1" applyProtection="1"/>
    <xf numFmtId="10" fontId="7" fillId="0" borderId="22" xfId="32" applyNumberFormat="1" applyFont="1" applyBorder="1" applyAlignment="1" applyProtection="1">
      <alignment horizontal="right"/>
    </xf>
    <xf numFmtId="10" fontId="7" fillId="0" borderId="4" xfId="32" applyNumberFormat="1" applyFont="1" applyBorder="1" applyAlignment="1" applyProtection="1">
      <alignment horizontal="right"/>
    </xf>
    <xf numFmtId="165" fontId="7" fillId="0" borderId="3" xfId="1" applyNumberFormat="1" applyFont="1" applyFill="1" applyBorder="1" applyAlignment="1" applyProtection="1">
      <alignment horizontal="center"/>
    </xf>
    <xf numFmtId="165" fontId="7" fillId="0" borderId="3" xfId="1" applyNumberFormat="1" applyFont="1" applyBorder="1" applyProtection="1"/>
    <xf numFmtId="10" fontId="7" fillId="0" borderId="3" xfId="1" applyNumberFormat="1" applyFont="1" applyBorder="1" applyProtection="1"/>
    <xf numFmtId="10" fontId="7" fillId="0" borderId="2" xfId="32" applyNumberFormat="1" applyFont="1" applyBorder="1" applyAlignment="1" applyProtection="1">
      <alignment horizontal="right"/>
    </xf>
    <xf numFmtId="10" fontId="7" fillId="0" borderId="11" xfId="32" applyNumberFormat="1" applyFont="1" applyBorder="1" applyAlignment="1" applyProtection="1">
      <alignment horizontal="right"/>
    </xf>
    <xf numFmtId="10" fontId="5" fillId="0" borderId="0" xfId="1" applyNumberFormat="1" applyFont="1" applyProtection="1"/>
    <xf numFmtId="165" fontId="5" fillId="0" borderId="0" xfId="1" applyNumberFormat="1" applyFont="1" applyFill="1" applyAlignment="1" applyProtection="1">
      <alignment horizontal="center"/>
    </xf>
    <xf numFmtId="3" fontId="5" fillId="4" borderId="5" xfId="1" applyNumberFormat="1" applyFont="1" applyFill="1" applyBorder="1" applyProtection="1"/>
    <xf numFmtId="165" fontId="5" fillId="0" borderId="0" xfId="1" applyNumberFormat="1" applyFont="1" applyFill="1" applyBorder="1" applyAlignment="1" applyProtection="1">
      <alignment horizontal="center"/>
    </xf>
    <xf numFmtId="3" fontId="16" fillId="0" borderId="21" xfId="1" applyNumberFormat="1" applyFont="1" applyBorder="1" applyProtection="1"/>
    <xf numFmtId="0" fontId="7" fillId="0" borderId="2" xfId="0" applyFont="1" applyBorder="1" applyAlignment="1">
      <alignment horizontal="left"/>
    </xf>
    <xf numFmtId="165" fontId="5" fillId="0" borderId="2" xfId="1" applyNumberFormat="1" applyFont="1" applyBorder="1" applyProtection="1"/>
    <xf numFmtId="165" fontId="5" fillId="0" borderId="2" xfId="1" applyNumberFormat="1" applyFont="1" applyFill="1" applyBorder="1" applyAlignment="1" applyProtection="1">
      <alignment horizontal="center"/>
    </xf>
    <xf numFmtId="165" fontId="5" fillId="0" borderId="0" xfId="1" applyNumberFormat="1" applyFont="1" applyAlignment="1" applyProtection="1">
      <alignment horizontal="center"/>
    </xf>
    <xf numFmtId="3" fontId="4" fillId="0" borderId="2" xfId="1" applyNumberFormat="1" applyFont="1" applyBorder="1" applyAlignment="1" applyProtection="1">
      <alignment horizontal="center"/>
    </xf>
    <xf numFmtId="0" fontId="5" fillId="0" borderId="17" xfId="0" applyFont="1" applyBorder="1" applyAlignment="1">
      <alignment horizontal="left" wrapText="1"/>
    </xf>
    <xf numFmtId="0" fontId="36" fillId="0" borderId="0" xfId="0" applyFont="1" applyAlignment="1">
      <alignment wrapText="1"/>
    </xf>
    <xf numFmtId="170" fontId="7" fillId="2" borderId="5" xfId="28" applyNumberFormat="1" applyFont="1" applyFill="1" applyBorder="1" applyAlignment="1" applyProtection="1">
      <alignment horizontal="left" vertical="top" wrapText="1"/>
      <protection locked="0"/>
    </xf>
    <xf numFmtId="165" fontId="13" fillId="0" borderId="0" xfId="1" applyNumberFormat="1" applyFont="1" applyBorder="1" applyAlignment="1" applyProtection="1">
      <alignment horizontal="center" vertical="center"/>
    </xf>
    <xf numFmtId="164" fontId="7" fillId="0" borderId="0" xfId="16" applyNumberFormat="1" applyFont="1" applyAlignment="1">
      <alignment horizontal="left" wrapText="1"/>
    </xf>
    <xf numFmtId="0" fontId="10" fillId="2" borderId="5" xfId="16" applyFill="1" applyBorder="1" applyAlignment="1" applyProtection="1">
      <alignment wrapText="1"/>
      <protection locked="0"/>
    </xf>
    <xf numFmtId="0" fontId="5" fillId="0" borderId="10" xfId="18" applyFont="1" applyBorder="1" applyAlignment="1">
      <alignment vertical="top" wrapText="1"/>
    </xf>
    <xf numFmtId="0" fontId="5" fillId="0" borderId="5" xfId="18" applyFont="1" applyBorder="1" applyAlignment="1">
      <alignment vertical="top" wrapText="1"/>
    </xf>
    <xf numFmtId="0" fontId="7" fillId="0" borderId="7" xfId="18" applyFont="1" applyBorder="1" applyAlignment="1">
      <alignment vertical="top" wrapText="1"/>
    </xf>
    <xf numFmtId="0" fontId="5" fillId="2" borderId="5" xfId="18" applyFont="1" applyFill="1" applyBorder="1" applyAlignment="1" applyProtection="1">
      <alignment horizontal="left" vertical="top" wrapText="1"/>
      <protection locked="0"/>
    </xf>
    <xf numFmtId="0" fontId="7" fillId="2" borderId="5" xfId="18" applyFont="1" applyFill="1" applyBorder="1" applyAlignment="1" applyProtection="1">
      <alignment horizontal="left" vertical="top" wrapText="1"/>
      <protection locked="0"/>
    </xf>
    <xf numFmtId="0" fontId="5" fillId="0" borderId="16" xfId="18" applyFont="1" applyBorder="1" applyAlignment="1">
      <alignment vertical="top" wrapText="1"/>
    </xf>
    <xf numFmtId="0" fontId="5" fillId="0" borderId="6" xfId="18" applyFont="1" applyBorder="1" applyAlignment="1">
      <alignment vertical="top" wrapText="1"/>
    </xf>
    <xf numFmtId="0" fontId="23" fillId="0" borderId="7" xfId="0" applyFont="1" applyBorder="1"/>
    <xf numFmtId="0" fontId="7" fillId="0" borderId="5" xfId="28" applyFont="1" applyBorder="1" applyAlignment="1">
      <alignment horizontal="left" vertical="top" wrapText="1"/>
    </xf>
    <xf numFmtId="0" fontId="7" fillId="2" borderId="5" xfId="28" applyFont="1" applyFill="1" applyBorder="1" applyAlignment="1" applyProtection="1">
      <alignment horizontal="left" vertical="top" wrapText="1"/>
      <protection locked="0"/>
    </xf>
    <xf numFmtId="37" fontId="23" fillId="0" borderId="5" xfId="10" applyFont="1" applyBorder="1" applyAlignment="1">
      <alignment horizontal="center" wrapText="1"/>
    </xf>
    <xf numFmtId="0" fontId="25" fillId="0" borderId="0" xfId="28" applyFont="1" applyAlignment="1">
      <alignment wrapText="1"/>
    </xf>
    <xf numFmtId="37" fontId="46" fillId="3" borderId="0" xfId="10" applyFont="1" applyFill="1" applyAlignment="1">
      <alignment wrapText="1"/>
    </xf>
    <xf numFmtId="0" fontId="45" fillId="3" borderId="0" xfId="20" applyFont="1" applyFill="1" applyAlignment="1">
      <alignment wrapText="1"/>
    </xf>
    <xf numFmtId="37" fontId="25" fillId="0" borderId="0" xfId="10" applyFont="1" applyAlignment="1">
      <alignment wrapText="1"/>
    </xf>
    <xf numFmtId="37" fontId="23" fillId="0" borderId="17" xfId="10" applyFont="1" applyBorder="1" applyAlignment="1">
      <alignment wrapText="1"/>
    </xf>
    <xf numFmtId="37" fontId="23" fillId="0" borderId="5" xfId="10" applyFont="1" applyBorder="1" applyAlignment="1">
      <alignment wrapText="1"/>
    </xf>
    <xf numFmtId="0" fontId="10" fillId="2" borderId="5" xfId="23" applyFill="1" applyBorder="1" applyAlignment="1" applyProtection="1">
      <alignment horizontal="left" wrapText="1"/>
      <protection locked="0"/>
    </xf>
    <xf numFmtId="0" fontId="10" fillId="0" borderId="0" xfId="23" applyAlignment="1">
      <alignment wrapText="1"/>
    </xf>
    <xf numFmtId="0" fontId="23" fillId="0" borderId="0" xfId="17" applyFont="1" applyAlignment="1">
      <alignment wrapText="1"/>
    </xf>
    <xf numFmtId="0" fontId="10" fillId="0" borderId="0" xfId="23" applyAlignment="1">
      <alignment horizontal="right" wrapText="1"/>
    </xf>
    <xf numFmtId="37" fontId="57" fillId="0" borderId="0" xfId="10" applyFont="1" applyAlignment="1">
      <alignment horizontal="right" wrapText="1"/>
    </xf>
    <xf numFmtId="0" fontId="10" fillId="2" borderId="5" xfId="31" applyFill="1" applyBorder="1" applyAlignment="1" applyProtection="1">
      <alignment wrapText="1"/>
      <protection locked="0"/>
    </xf>
    <xf numFmtId="0" fontId="10" fillId="0" borderId="0" xfId="31" applyAlignment="1">
      <alignment horizontal="center" wrapText="1"/>
    </xf>
    <xf numFmtId="0" fontId="10" fillId="0" borderId="5" xfId="31" applyBorder="1" applyAlignment="1">
      <alignment wrapText="1"/>
    </xf>
    <xf numFmtId="0" fontId="10" fillId="0" borderId="0" xfId="31" applyAlignment="1">
      <alignment wrapText="1"/>
    </xf>
    <xf numFmtId="0" fontId="7" fillId="0" borderId="5" xfId="18" applyFont="1" applyBorder="1" applyAlignment="1">
      <alignment wrapText="1"/>
    </xf>
    <xf numFmtId="0" fontId="7" fillId="0" borderId="0" xfId="0" applyFont="1" applyProtection="1">
      <protection locked="0"/>
    </xf>
    <xf numFmtId="3" fontId="7" fillId="0" borderId="5" xfId="1" applyNumberFormat="1" applyFont="1" applyFill="1" applyBorder="1" applyProtection="1">
      <protection locked="0"/>
    </xf>
    <xf numFmtId="0" fontId="25" fillId="0" borderId="0" xfId="19" applyFont="1"/>
    <xf numFmtId="0" fontId="74" fillId="0" borderId="0" xfId="0" applyFont="1"/>
    <xf numFmtId="0" fontId="23" fillId="0" borderId="21" xfId="16" applyFont="1" applyBorder="1" applyAlignment="1">
      <alignment horizontal="center"/>
    </xf>
    <xf numFmtId="3" fontId="10" fillId="2" borderId="5" xfId="16" applyNumberFormat="1" applyFill="1" applyBorder="1"/>
    <xf numFmtId="37" fontId="10" fillId="0" borderId="0" xfId="9" applyFont="1" applyAlignment="1">
      <alignment horizontal="center" wrapText="1"/>
    </xf>
    <xf numFmtId="0" fontId="74" fillId="0" borderId="0" xfId="16" applyFont="1" applyAlignment="1">
      <alignment horizontal="center"/>
    </xf>
    <xf numFmtId="3" fontId="57" fillId="0" borderId="0" xfId="16" applyNumberFormat="1" applyFont="1"/>
    <xf numFmtId="37" fontId="10" fillId="0" borderId="5" xfId="10" applyFont="1" applyBorder="1" applyAlignment="1">
      <alignment horizontal="center"/>
    </xf>
    <xf numFmtId="37" fontId="10" fillId="0" borderId="5" xfId="10" applyFont="1" applyBorder="1" applyAlignment="1">
      <alignment horizontal="center" wrapText="1"/>
    </xf>
    <xf numFmtId="37" fontId="10" fillId="0" borderId="0" xfId="10" applyFont="1" applyAlignment="1">
      <alignment horizontal="right"/>
    </xf>
    <xf numFmtId="3" fontId="57" fillId="0" borderId="0" xfId="10" applyNumberFormat="1" applyFont="1"/>
    <xf numFmtId="37" fontId="10" fillId="2" borderId="5" xfId="10" applyFont="1" applyFill="1" applyBorder="1" applyAlignment="1" applyProtection="1">
      <alignment horizontal="center" wrapText="1"/>
      <protection locked="0"/>
    </xf>
    <xf numFmtId="0" fontId="10" fillId="2" borderId="5" xfId="16" applyFill="1" applyBorder="1" applyAlignment="1" applyProtection="1">
      <alignment horizontal="center" wrapText="1"/>
      <protection locked="0"/>
    </xf>
    <xf numFmtId="41" fontId="52" fillId="0" borderId="0" xfId="1" applyNumberFormat="1" applyFont="1" applyFill="1" applyAlignment="1" applyProtection="1">
      <alignment horizontal="right"/>
    </xf>
    <xf numFmtId="3" fontId="13" fillId="6" borderId="5" xfId="1" applyNumberFormat="1" applyFont="1" applyFill="1" applyBorder="1" applyAlignment="1" applyProtection="1">
      <alignment horizontal="right"/>
      <protection locked="0"/>
    </xf>
    <xf numFmtId="164" fontId="5" fillId="0" borderId="0" xfId="16" applyNumberFormat="1" applyFont="1" applyAlignment="1">
      <alignment vertical="top" wrapText="1"/>
    </xf>
    <xf numFmtId="0" fontId="13" fillId="0" borderId="0" xfId="26" applyFont="1" applyAlignment="1">
      <alignment horizontal="left" indent="1"/>
    </xf>
    <xf numFmtId="3" fontId="13" fillId="0" borderId="3" xfId="1" applyNumberFormat="1" applyFont="1" applyBorder="1" applyProtection="1"/>
    <xf numFmtId="3" fontId="20" fillId="0" borderId="0" xfId="26" applyNumberFormat="1" applyFont="1" applyAlignment="1">
      <alignment horizontal="right" vertical="center"/>
    </xf>
    <xf numFmtId="3" fontId="13" fillId="0" borderId="0" xfId="26" applyNumberFormat="1" applyFont="1" applyAlignment="1">
      <alignment horizontal="right"/>
    </xf>
    <xf numFmtId="165" fontId="13" fillId="0" borderId="0" xfId="1" applyNumberFormat="1" applyFont="1" applyFill="1" applyBorder="1" applyProtection="1">
      <protection locked="0"/>
    </xf>
    <xf numFmtId="0" fontId="13" fillId="0" borderId="0" xfId="26" applyFont="1" applyAlignment="1">
      <alignment horizontal="left" wrapText="1" indent="1"/>
    </xf>
    <xf numFmtId="0" fontId="13" fillId="0" borderId="0" xfId="26" applyFont="1" applyAlignment="1">
      <alignment horizontal="left" wrapText="1" indent="2"/>
    </xf>
    <xf numFmtId="3" fontId="13" fillId="0" borderId="5" xfId="1" applyNumberFormat="1" applyFont="1" applyFill="1" applyBorder="1" applyAlignment="1" applyProtection="1">
      <alignment horizontal="right"/>
      <protection locked="0"/>
    </xf>
    <xf numFmtId="0" fontId="13" fillId="0" borderId="0" xfId="26" applyFont="1" applyAlignment="1">
      <alignment horizontal="left" indent="2"/>
    </xf>
    <xf numFmtId="3" fontId="13" fillId="0" borderId="2" xfId="1" applyNumberFormat="1" applyFont="1" applyFill="1" applyBorder="1" applyAlignment="1" applyProtection="1">
      <alignment horizontal="right"/>
      <protection locked="0"/>
    </xf>
    <xf numFmtId="3" fontId="13" fillId="0" borderId="0" xfId="1" applyNumberFormat="1" applyFont="1" applyFill="1" applyBorder="1" applyAlignment="1" applyProtection="1">
      <alignment horizontal="right"/>
      <protection locked="0"/>
    </xf>
    <xf numFmtId="10" fontId="7" fillId="0" borderId="5" xfId="0" applyNumberFormat="1" applyFont="1" applyBorder="1" applyAlignment="1">
      <alignment horizontal="center"/>
    </xf>
    <xf numFmtId="0" fontId="5" fillId="0" borderId="5" xfId="0" applyFont="1" applyBorder="1"/>
    <xf numFmtId="0" fontId="5" fillId="0" borderId="7" xfId="0" applyFont="1" applyBorder="1" applyAlignment="1">
      <alignment horizontal="left" wrapText="1"/>
    </xf>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wrapText="1"/>
    </xf>
    <xf numFmtId="41" fontId="3" fillId="2" borderId="5" xfId="1" applyNumberFormat="1" applyFont="1" applyFill="1" applyBorder="1" applyAlignment="1" applyProtection="1">
      <alignment horizontal="right"/>
      <protection locked="0"/>
    </xf>
    <xf numFmtId="41" fontId="3" fillId="0" borderId="5" xfId="1" applyNumberFormat="1" applyFont="1" applyBorder="1" applyProtection="1"/>
    <xf numFmtId="41" fontId="3" fillId="0" borderId="4" xfId="1" applyNumberFormat="1" applyFont="1" applyBorder="1" applyAlignment="1" applyProtection="1">
      <alignment horizontal="right"/>
    </xf>
    <xf numFmtId="0" fontId="78" fillId="0" borderId="0" xfId="0" applyFont="1"/>
    <xf numFmtId="0" fontId="79" fillId="0" borderId="0" xfId="0" applyFont="1" applyAlignment="1">
      <alignment wrapText="1"/>
    </xf>
    <xf numFmtId="0" fontId="5" fillId="0" borderId="5" xfId="18" applyFont="1" applyBorder="1" applyAlignment="1">
      <alignment horizontal="left" wrapText="1"/>
    </xf>
    <xf numFmtId="0" fontId="10" fillId="0" borderId="0" xfId="16" applyAlignment="1">
      <alignment wrapText="1"/>
    </xf>
    <xf numFmtId="0" fontId="4" fillId="0" borderId="0" xfId="16" applyFont="1" applyAlignment="1">
      <alignment wrapText="1"/>
    </xf>
    <xf numFmtId="0" fontId="10" fillId="2" borderId="5" xfId="0" applyFont="1" applyFill="1" applyBorder="1" applyAlignment="1" applyProtection="1">
      <alignment horizontal="center" vertical="center" wrapText="1"/>
      <protection locked="0"/>
    </xf>
    <xf numFmtId="3" fontId="0" fillId="0" borderId="0" xfId="0" applyNumberFormat="1" applyAlignment="1">
      <alignment wrapText="1"/>
    </xf>
    <xf numFmtId="37" fontId="10" fillId="0" borderId="0" xfId="10" applyFont="1" applyAlignment="1">
      <alignment horizontal="left" wrapText="1"/>
    </xf>
    <xf numFmtId="37" fontId="10" fillId="0" borderId="0" xfId="10" applyFont="1" applyAlignment="1">
      <alignment horizontal="center"/>
    </xf>
    <xf numFmtId="3" fontId="10" fillId="0" borderId="0" xfId="10" applyNumberFormat="1" applyFont="1"/>
    <xf numFmtId="3" fontId="10" fillId="0" borderId="5" xfId="1" applyNumberFormat="1" applyFont="1" applyBorder="1" applyProtection="1"/>
    <xf numFmtId="0" fontId="10" fillId="0" borderId="0" xfId="26" applyFont="1" applyAlignment="1">
      <alignment wrapText="1"/>
    </xf>
    <xf numFmtId="0" fontId="80" fillId="0" borderId="0" xfId="26" applyFont="1" applyAlignment="1">
      <alignment horizontal="right" wrapText="1"/>
    </xf>
    <xf numFmtId="3" fontId="80" fillId="0" borderId="0" xfId="1" applyNumberFormat="1" applyFont="1" applyBorder="1" applyAlignment="1" applyProtection="1">
      <alignment horizontal="right"/>
    </xf>
    <xf numFmtId="3" fontId="80" fillId="0" borderId="0" xfId="1" applyNumberFormat="1" applyFont="1" applyBorder="1" applyProtection="1"/>
    <xf numFmtId="0" fontId="23" fillId="0" borderId="0" xfId="26" applyFont="1" applyAlignment="1">
      <alignment horizontal="right"/>
    </xf>
    <xf numFmtId="3" fontId="10" fillId="2" borderId="5" xfId="10" applyNumberFormat="1" applyFont="1" applyFill="1" applyBorder="1" applyProtection="1">
      <protection locked="0"/>
    </xf>
    <xf numFmtId="3" fontId="10" fillId="0" borderId="5" xfId="10" applyNumberFormat="1" applyFont="1" applyBorder="1"/>
    <xf numFmtId="3" fontId="10" fillId="2" borderId="8" xfId="1" applyNumberFormat="1" applyFont="1" applyFill="1" applyBorder="1" applyProtection="1">
      <protection locked="0"/>
    </xf>
    <xf numFmtId="3" fontId="10" fillId="0" borderId="18" xfId="10" applyNumberFormat="1" applyFont="1" applyBorder="1"/>
    <xf numFmtId="3" fontId="10" fillId="2" borderId="8" xfId="10" applyNumberFormat="1" applyFont="1" applyFill="1" applyBorder="1" applyProtection="1">
      <protection locked="0"/>
    </xf>
    <xf numFmtId="37" fontId="10" fillId="0" borderId="0" xfId="10" quotePrefix="1" applyFont="1" applyAlignment="1">
      <alignment horizontal="right"/>
    </xf>
    <xf numFmtId="37" fontId="10" fillId="0" borderId="0" xfId="10" applyFont="1" applyAlignment="1">
      <alignment horizontal="centerContinuous" wrapText="1"/>
    </xf>
    <xf numFmtId="3" fontId="10" fillId="0" borderId="19" xfId="10" applyNumberFormat="1" applyFont="1" applyBorder="1"/>
    <xf numFmtId="0" fontId="10" fillId="0" borderId="0" xfId="22" applyAlignment="1">
      <alignment wrapText="1"/>
    </xf>
    <xf numFmtId="0" fontId="10" fillId="0" borderId="0" xfId="26" applyFont="1" applyAlignment="1">
      <alignment horizontal="right" wrapText="1"/>
    </xf>
    <xf numFmtId="0" fontId="23" fillId="0" borderId="0" xfId="16" applyFont="1" applyAlignment="1">
      <alignment horizontal="left"/>
    </xf>
    <xf numFmtId="0" fontId="23" fillId="0" borderId="0" xfId="16" applyFont="1" applyProtection="1">
      <protection locked="0"/>
    </xf>
    <xf numFmtId="0" fontId="5" fillId="0" borderId="5" xfId="0" applyFont="1" applyBorder="1" applyAlignment="1">
      <alignment horizontal="left" wrapText="1"/>
    </xf>
    <xf numFmtId="41" fontId="7" fillId="0" borderId="0" xfId="0" applyNumberFormat="1" applyFont="1" applyAlignment="1">
      <alignment vertical="top" wrapText="1"/>
    </xf>
    <xf numFmtId="0" fontId="10" fillId="0" borderId="10" xfId="16" applyBorder="1"/>
    <xf numFmtId="0" fontId="10" fillId="0" borderId="11" xfId="16" applyBorder="1" applyAlignment="1">
      <alignment horizontal="center" wrapText="1"/>
    </xf>
    <xf numFmtId="3" fontId="10" fillId="2" borderId="5" xfId="1" applyNumberFormat="1" applyFont="1" applyFill="1" applyBorder="1" applyAlignment="1" applyProtection="1">
      <protection locked="0"/>
    </xf>
    <xf numFmtId="164" fontId="5" fillId="0" borderId="0" xfId="16" applyNumberFormat="1" applyFont="1" applyAlignment="1">
      <alignment horizontal="left" wrapText="1"/>
    </xf>
    <xf numFmtId="0" fontId="5" fillId="0" borderId="0" xfId="26" applyFont="1" applyAlignment="1">
      <alignment horizontal="center"/>
    </xf>
    <xf numFmtId="164" fontId="5" fillId="0" borderId="0" xfId="16" applyNumberFormat="1" applyFont="1" applyAlignment="1">
      <alignment horizontal="right" vertical="top"/>
    </xf>
    <xf numFmtId="164" fontId="5" fillId="2" borderId="5" xfId="16" applyNumberFormat="1" applyFont="1" applyFill="1" applyBorder="1" applyAlignment="1" applyProtection="1">
      <alignment horizontal="center" wrapText="1"/>
      <protection locked="0"/>
    </xf>
    <xf numFmtId="0" fontId="5" fillId="0" borderId="0" xfId="0" applyFont="1" applyAlignment="1">
      <alignment horizontal="center" vertical="top" wrapText="1"/>
    </xf>
    <xf numFmtId="0" fontId="4" fillId="0" borderId="0" xfId="18" applyFont="1" applyAlignment="1">
      <alignment vertical="center"/>
    </xf>
    <xf numFmtId="0" fontId="5" fillId="2" borderId="5" xfId="0" applyFont="1" applyFill="1" applyBorder="1" applyAlignment="1" applyProtection="1">
      <alignment horizontal="center" vertical="top"/>
      <protection locked="0"/>
    </xf>
    <xf numFmtId="3" fontId="52" fillId="0" borderId="3" xfId="1" applyNumberFormat="1" applyFont="1" applyFill="1" applyBorder="1" applyAlignment="1" applyProtection="1">
      <alignment horizontal="right"/>
    </xf>
    <xf numFmtId="0" fontId="13" fillId="6" borderId="5" xfId="26" applyFont="1" applyFill="1" applyBorder="1" applyAlignment="1" applyProtection="1">
      <alignment wrapText="1"/>
      <protection locked="0"/>
    </xf>
    <xf numFmtId="165" fontId="13" fillId="6" borderId="5" xfId="1" applyNumberFormat="1" applyFont="1" applyFill="1" applyBorder="1" applyProtection="1"/>
    <xf numFmtId="0" fontId="13" fillId="0" borderId="0" xfId="26" applyFont="1" applyAlignment="1" applyProtection="1">
      <alignment wrapText="1"/>
      <protection locked="0"/>
    </xf>
    <xf numFmtId="0" fontId="13" fillId="0" borderId="5" xfId="26" applyFont="1" applyBorder="1" applyAlignment="1" applyProtection="1">
      <alignment wrapText="1"/>
      <protection locked="0"/>
    </xf>
    <xf numFmtId="3" fontId="13" fillId="6" borderId="5" xfId="1" applyNumberFormat="1" applyFont="1" applyFill="1" applyBorder="1" applyProtection="1"/>
    <xf numFmtId="0" fontId="13" fillId="0" borderId="0" xfId="26" applyFont="1" applyAlignment="1">
      <alignment horizontal="left" wrapText="1" indent="6"/>
    </xf>
    <xf numFmtId="0" fontId="13" fillId="0" borderId="0" xfId="26" applyFont="1" applyAlignment="1">
      <alignment horizontal="left" indent="3"/>
    </xf>
    <xf numFmtId="0" fontId="13" fillId="0" borderId="0" xfId="26" applyFont="1" applyAlignment="1">
      <alignment horizontal="left" indent="4"/>
    </xf>
    <xf numFmtId="165" fontId="13" fillId="0" borderId="3" xfId="1" applyNumberFormat="1" applyFont="1" applyFill="1" applyBorder="1" applyProtection="1"/>
    <xf numFmtId="3" fontId="10" fillId="0" borderId="3" xfId="25" applyNumberFormat="1" applyBorder="1"/>
    <xf numFmtId="0" fontId="10" fillId="0" borderId="3" xfId="25" applyBorder="1"/>
    <xf numFmtId="3" fontId="10" fillId="0" borderId="9" xfId="1" applyNumberFormat="1" applyFont="1" applyBorder="1" applyProtection="1"/>
    <xf numFmtId="165" fontId="10" fillId="0" borderId="9" xfId="25" applyNumberFormat="1" applyBorder="1"/>
    <xf numFmtId="0" fontId="81" fillId="0" borderId="0" xfId="26" applyFont="1"/>
    <xf numFmtId="0" fontId="81" fillId="0" borderId="0" xfId="26" applyFont="1" applyAlignment="1">
      <alignment wrapText="1"/>
    </xf>
    <xf numFmtId="0" fontId="81" fillId="0" borderId="0" xfId="0" applyFont="1"/>
    <xf numFmtId="0" fontId="81" fillId="2" borderId="5" xfId="26" applyFont="1" applyFill="1" applyBorder="1" applyAlignment="1">
      <alignment wrapText="1"/>
    </xf>
    <xf numFmtId="0" fontId="71" fillId="7" borderId="5" xfId="39" applyFont="1" applyFill="1" applyBorder="1" applyAlignment="1">
      <alignment horizontal="center"/>
    </xf>
    <xf numFmtId="0" fontId="71" fillId="7" borderId="5" xfId="39" applyFont="1" applyFill="1" applyBorder="1" applyAlignment="1">
      <alignment horizontal="right"/>
    </xf>
    <xf numFmtId="0" fontId="12" fillId="0" borderId="5" xfId="0" applyFont="1" applyBorder="1" applyAlignment="1">
      <alignment wrapText="1"/>
    </xf>
    <xf numFmtId="3" fontId="12" fillId="0" borderId="5" xfId="0" applyNumberFormat="1" applyFont="1" applyBorder="1" applyAlignment="1">
      <alignment horizontal="right"/>
    </xf>
    <xf numFmtId="0" fontId="12" fillId="0" borderId="5" xfId="0" applyFont="1" applyBorder="1" applyAlignment="1">
      <alignment horizontal="right"/>
    </xf>
    <xf numFmtId="0" fontId="12" fillId="0" borderId="5" xfId="0" applyFont="1" applyBorder="1" applyAlignment="1">
      <alignment horizontal="right" wrapText="1"/>
    </xf>
    <xf numFmtId="0" fontId="8" fillId="0" borderId="0" xfId="26" applyFont="1" applyAlignment="1">
      <alignment vertical="center" wrapText="1"/>
    </xf>
    <xf numFmtId="3" fontId="13" fillId="0" borderId="0" xfId="1" applyNumberFormat="1" applyFont="1" applyFill="1" applyBorder="1" applyProtection="1">
      <protection locked="0"/>
    </xf>
    <xf numFmtId="0" fontId="10" fillId="0" borderId="0" xfId="16" quotePrefix="1" applyAlignment="1">
      <alignment horizontal="right"/>
    </xf>
    <xf numFmtId="3" fontId="10" fillId="2" borderId="5" xfId="1" applyNumberFormat="1" applyFont="1" applyFill="1" applyBorder="1" applyAlignment="1" applyProtection="1">
      <alignment horizontal="right"/>
      <protection locked="0"/>
    </xf>
    <xf numFmtId="3" fontId="10" fillId="0" borderId="0" xfId="1" applyNumberFormat="1" applyFont="1" applyProtection="1"/>
    <xf numFmtId="3" fontId="10" fillId="0" borderId="4" xfId="1" applyNumberFormat="1" applyFont="1" applyBorder="1" applyAlignment="1" applyProtection="1">
      <alignment horizontal="right"/>
    </xf>
    <xf numFmtId="0" fontId="5" fillId="0" borderId="0" xfId="16" applyFont="1" applyAlignment="1">
      <alignment horizontal="right"/>
    </xf>
    <xf numFmtId="0" fontId="5" fillId="0" borderId="0" xfId="16" applyFont="1" applyAlignment="1">
      <alignment horizontal="center"/>
    </xf>
    <xf numFmtId="3" fontId="10" fillId="0" borderId="0" xfId="16" applyNumberFormat="1" applyAlignment="1">
      <alignment horizontal="right"/>
    </xf>
    <xf numFmtId="37" fontId="10" fillId="0" borderId="17" xfId="10" applyFont="1" applyBorder="1"/>
    <xf numFmtId="0" fontId="88" fillId="0" borderId="5" xfId="18" applyFont="1" applyBorder="1" applyAlignment="1">
      <alignment vertical="top" wrapText="1"/>
    </xf>
    <xf numFmtId="0" fontId="88" fillId="2" borderId="5" xfId="0" applyFont="1" applyFill="1" applyBorder="1" applyAlignment="1" applyProtection="1">
      <alignment horizontal="center" vertical="top" wrapText="1"/>
      <protection locked="0"/>
    </xf>
    <xf numFmtId="0" fontId="88" fillId="0" borderId="5" xfId="0" applyFont="1" applyBorder="1" applyAlignment="1">
      <alignment horizontal="left" vertical="top" wrapText="1"/>
    </xf>
    <xf numFmtId="0" fontId="88" fillId="2" borderId="6" xfId="18" applyFont="1" applyFill="1" applyBorder="1" applyAlignment="1">
      <alignment horizontal="center" vertical="top" wrapText="1"/>
    </xf>
    <xf numFmtId="0" fontId="88" fillId="2" borderId="5" xfId="0" applyFont="1" applyFill="1" applyBorder="1" applyAlignment="1">
      <alignment horizontal="center" vertical="top" wrapText="1"/>
    </xf>
    <xf numFmtId="0" fontId="53" fillId="0" borderId="5" xfId="18" applyFont="1" applyBorder="1" applyAlignment="1">
      <alignment vertical="top" wrapText="1"/>
    </xf>
    <xf numFmtId="0" fontId="4" fillId="0" borderId="0" xfId="18" applyFont="1" applyAlignment="1">
      <alignment vertical="top"/>
    </xf>
    <xf numFmtId="0" fontId="4" fillId="0" borderId="2" xfId="18" applyFont="1" applyBorder="1" applyAlignment="1">
      <alignment horizontal="left" vertical="top"/>
    </xf>
    <xf numFmtId="0" fontId="5" fillId="0" borderId="3" xfId="18" applyFont="1" applyBorder="1" applyAlignment="1">
      <alignment vertical="top" wrapText="1"/>
    </xf>
    <xf numFmtId="0" fontId="13" fillId="0" borderId="10" xfId="26" applyFont="1" applyBorder="1" applyAlignment="1">
      <alignment horizontal="left" indent="3"/>
    </xf>
    <xf numFmtId="0" fontId="13" fillId="0" borderId="10" xfId="26" applyFont="1" applyBorder="1" applyAlignment="1">
      <alignment horizontal="left" indent="4"/>
    </xf>
    <xf numFmtId="172" fontId="7" fillId="2" borderId="5" xfId="28" applyNumberFormat="1" applyFont="1" applyFill="1" applyBorder="1" applyAlignment="1" applyProtection="1">
      <alignment horizontal="left" vertical="top" wrapText="1"/>
      <protection locked="0"/>
    </xf>
    <xf numFmtId="37" fontId="45" fillId="0" borderId="0" xfId="10" applyFont="1" applyAlignment="1">
      <alignment horizontal="right"/>
    </xf>
    <xf numFmtId="37" fontId="45" fillId="0" borderId="0" xfId="10" quotePrefix="1" applyFont="1" applyAlignment="1">
      <alignment horizontal="left" wrapText="1"/>
    </xf>
    <xf numFmtId="37" fontId="45" fillId="2" borderId="5" xfId="10" applyFont="1" applyFill="1" applyBorder="1" applyAlignment="1" applyProtection="1">
      <alignment horizontal="center" wrapText="1"/>
      <protection locked="0"/>
    </xf>
    <xf numFmtId="0" fontId="10" fillId="2" borderId="5" xfId="16" quotePrefix="1" applyFill="1" applyBorder="1" applyAlignment="1" applyProtection="1">
      <alignment wrapText="1"/>
      <protection locked="0"/>
    </xf>
    <xf numFmtId="0" fontId="5" fillId="0" borderId="0" xfId="18" applyFont="1" applyAlignment="1">
      <alignment vertical="top" wrapText="1"/>
    </xf>
    <xf numFmtId="0" fontId="5" fillId="0" borderId="5" xfId="28" applyFont="1" applyBorder="1" applyAlignment="1">
      <alignment wrapText="1"/>
    </xf>
    <xf numFmtId="0" fontId="5" fillId="0" borderId="5" xfId="28" applyFont="1" applyBorder="1" applyAlignment="1">
      <alignment horizontal="left" wrapText="1"/>
    </xf>
    <xf numFmtId="0" fontId="5" fillId="0" borderId="13" xfId="0" applyFont="1" applyBorder="1" applyAlignment="1">
      <alignment wrapText="1"/>
    </xf>
    <xf numFmtId="37" fontId="74" fillId="0" borderId="0" xfId="10" applyFont="1"/>
    <xf numFmtId="165" fontId="24" fillId="0" borderId="0" xfId="1" applyNumberFormat="1" applyFont="1" applyAlignment="1" applyProtection="1"/>
    <xf numFmtId="0" fontId="61" fillId="0" borderId="0" xfId="25" applyFont="1"/>
    <xf numFmtId="3" fontId="7" fillId="8" borderId="5" xfId="1" applyNumberFormat="1" applyFont="1" applyFill="1" applyBorder="1" applyProtection="1"/>
    <xf numFmtId="3" fontId="5" fillId="8" borderId="5" xfId="1" applyNumberFormat="1" applyFont="1" applyFill="1" applyBorder="1" applyProtection="1"/>
    <xf numFmtId="3" fontId="7" fillId="8" borderId="17" xfId="1" applyNumberFormat="1" applyFont="1" applyFill="1" applyBorder="1" applyProtection="1"/>
    <xf numFmtId="3" fontId="7" fillId="9" borderId="5" xfId="1" applyNumberFormat="1" applyFont="1" applyFill="1" applyBorder="1" applyProtection="1"/>
    <xf numFmtId="3" fontId="5" fillId="9" borderId="5" xfId="1" applyNumberFormat="1" applyFont="1" applyFill="1" applyBorder="1" applyProtection="1"/>
    <xf numFmtId="3" fontId="7" fillId="9" borderId="17" xfId="1" applyNumberFormat="1" applyFont="1" applyFill="1" applyBorder="1" applyProtection="1"/>
    <xf numFmtId="3" fontId="7" fillId="10" borderId="5" xfId="1" applyNumberFormat="1" applyFont="1" applyFill="1" applyBorder="1" applyProtection="1"/>
    <xf numFmtId="3" fontId="5" fillId="10" borderId="5" xfId="1" applyNumberFormat="1" applyFont="1" applyFill="1" applyBorder="1" applyProtection="1"/>
    <xf numFmtId="3" fontId="7" fillId="10" borderId="17" xfId="1" applyNumberFormat="1" applyFont="1" applyFill="1" applyBorder="1" applyProtection="1"/>
    <xf numFmtId="3" fontId="13" fillId="9" borderId="5" xfId="1" applyNumberFormat="1" applyFont="1" applyFill="1" applyBorder="1" applyAlignment="1" applyProtection="1">
      <alignment horizontal="right"/>
    </xf>
    <xf numFmtId="3" fontId="13" fillId="9" borderId="5" xfId="1" applyNumberFormat="1" applyFont="1" applyFill="1" applyBorder="1" applyProtection="1"/>
    <xf numFmtId="165" fontId="13" fillId="9" borderId="5" xfId="1" applyNumberFormat="1" applyFont="1" applyFill="1" applyBorder="1" applyProtection="1"/>
    <xf numFmtId="3" fontId="23" fillId="9" borderId="5" xfId="1" applyNumberFormat="1" applyFont="1" applyFill="1" applyBorder="1" applyProtection="1"/>
    <xf numFmtId="0" fontId="82" fillId="0" borderId="0" xfId="0" applyFont="1"/>
    <xf numFmtId="3" fontId="23" fillId="0" borderId="4" xfId="1" applyNumberFormat="1" applyFont="1" applyFill="1" applyBorder="1" applyAlignment="1" applyProtection="1">
      <alignment horizontal="right"/>
    </xf>
    <xf numFmtId="0" fontId="4" fillId="0" borderId="0" xfId="28" applyFont="1" applyAlignment="1">
      <alignment horizontal="left" wrapText="1"/>
    </xf>
    <xf numFmtId="0" fontId="92" fillId="0" borderId="0" xfId="0" applyFont="1"/>
    <xf numFmtId="0" fontId="5" fillId="0" borderId="0" xfId="28" applyFont="1" applyAlignment="1">
      <alignment wrapText="1"/>
    </xf>
    <xf numFmtId="37" fontId="10" fillId="0" borderId="17" xfId="10" applyFont="1" applyBorder="1" applyAlignment="1">
      <alignment wrapText="1"/>
    </xf>
    <xf numFmtId="37" fontId="7" fillId="0" borderId="6" xfId="10" applyFont="1" applyBorder="1" applyAlignment="1">
      <alignment horizontal="center" wrapText="1"/>
    </xf>
    <xf numFmtId="37" fontId="23" fillId="0" borderId="6" xfId="10" applyFont="1" applyBorder="1" applyAlignment="1">
      <alignment horizontal="center"/>
    </xf>
    <xf numFmtId="37" fontId="23" fillId="0" borderId="6" xfId="10" applyFont="1" applyBorder="1" applyAlignment="1">
      <alignment horizontal="center" wrapText="1"/>
    </xf>
    <xf numFmtId="0" fontId="7" fillId="0" borderId="0" xfId="28" applyFont="1" applyAlignment="1">
      <alignment vertical="center"/>
    </xf>
    <xf numFmtId="3" fontId="10" fillId="0" borderId="5" xfId="9" applyNumberFormat="1" applyFont="1" applyBorder="1" applyAlignment="1">
      <alignment horizontal="center"/>
    </xf>
    <xf numFmtId="0" fontId="54" fillId="0" borderId="0" xfId="28" applyFont="1"/>
    <xf numFmtId="38" fontId="53" fillId="0" borderId="0" xfId="28" applyNumberFormat="1" applyFont="1"/>
    <xf numFmtId="0" fontId="53" fillId="0" borderId="0" xfId="28" applyFont="1"/>
    <xf numFmtId="37" fontId="45" fillId="0" borderId="0" xfId="10" applyFont="1" applyAlignment="1">
      <alignment horizontal="centerContinuous"/>
    </xf>
    <xf numFmtId="37" fontId="53" fillId="0" borderId="5" xfId="10" applyFont="1" applyBorder="1" applyAlignment="1">
      <alignment horizontal="center" wrapText="1"/>
    </xf>
    <xf numFmtId="37" fontId="45" fillId="0" borderId="5" xfId="10" applyFont="1" applyBorder="1" applyAlignment="1">
      <alignment horizontal="center"/>
    </xf>
    <xf numFmtId="37" fontId="45" fillId="0" borderId="5" xfId="10" applyFont="1" applyBorder="1" applyAlignment="1">
      <alignment horizontal="center" wrapText="1"/>
    </xf>
    <xf numFmtId="170" fontId="45" fillId="0" borderId="5" xfId="10" applyNumberFormat="1" applyFont="1" applyBorder="1" applyAlignment="1">
      <alignment horizontal="center" wrapText="1"/>
    </xf>
    <xf numFmtId="37" fontId="45" fillId="0" borderId="0" xfId="10" applyFont="1" applyAlignment="1">
      <alignment horizontal="center"/>
    </xf>
    <xf numFmtId="0" fontId="10" fillId="0" borderId="0" xfId="27"/>
    <xf numFmtId="0" fontId="7" fillId="0" borderId="0" xfId="25" applyFont="1" applyAlignment="1">
      <alignment wrapText="1"/>
    </xf>
    <xf numFmtId="0" fontId="7" fillId="0" borderId="0" xfId="25" applyFont="1" applyAlignment="1">
      <alignment horizontal="right" wrapText="1"/>
    </xf>
    <xf numFmtId="0" fontId="10" fillId="0" borderId="0" xfId="25" applyAlignment="1">
      <alignment wrapText="1"/>
    </xf>
    <xf numFmtId="0" fontId="5" fillId="0" borderId="17" xfId="25" applyFont="1" applyBorder="1" applyAlignment="1">
      <alignment wrapText="1"/>
    </xf>
    <xf numFmtId="0" fontId="5" fillId="0" borderId="3" xfId="25" applyFont="1" applyBorder="1" applyAlignment="1">
      <alignment wrapText="1"/>
    </xf>
    <xf numFmtId="0" fontId="10" fillId="0" borderId="7" xfId="25" applyBorder="1" applyAlignment="1">
      <alignment wrapText="1"/>
    </xf>
    <xf numFmtId="0" fontId="10" fillId="0" borderId="3" xfId="25" applyBorder="1" applyAlignment="1">
      <alignment wrapText="1"/>
    </xf>
    <xf numFmtId="0" fontId="5" fillId="0" borderId="0" xfId="0" applyFont="1" applyAlignment="1">
      <alignment horizontal="right" wrapText="1"/>
    </xf>
    <xf numFmtId="165" fontId="7" fillId="0" borderId="0" xfId="1" applyNumberFormat="1" applyFont="1" applyBorder="1" applyAlignment="1" applyProtection="1">
      <alignment wrapText="1"/>
    </xf>
    <xf numFmtId="0" fontId="0" fillId="0" borderId="0" xfId="0" applyAlignment="1">
      <alignment wrapText="1"/>
    </xf>
    <xf numFmtId="0" fontId="7" fillId="0" borderId="0" xfId="0" applyFont="1" applyAlignment="1">
      <alignment horizontal="right" wrapText="1"/>
    </xf>
    <xf numFmtId="0" fontId="7" fillId="0" borderId="0" xfId="0" applyFont="1" applyAlignment="1">
      <alignment wrapText="1"/>
    </xf>
    <xf numFmtId="0" fontId="5" fillId="0" borderId="17" xfId="0" applyFont="1" applyBorder="1" applyAlignment="1">
      <alignment wrapText="1"/>
    </xf>
    <xf numFmtId="0" fontId="0" fillId="0" borderId="3" xfId="0" applyBorder="1" applyAlignment="1">
      <alignment wrapText="1"/>
    </xf>
    <xf numFmtId="0" fontId="0" fillId="0" borderId="7" xfId="0" applyBorder="1" applyAlignment="1">
      <alignment wrapText="1"/>
    </xf>
    <xf numFmtId="0" fontId="5" fillId="0" borderId="3" xfId="0" applyFont="1" applyBorder="1" applyAlignment="1">
      <alignment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left" wrapText="1"/>
    </xf>
    <xf numFmtId="0" fontId="7" fillId="0" borderId="0" xfId="0" applyFont="1" applyAlignment="1">
      <alignment horizontal="left" wrapText="1"/>
    </xf>
    <xf numFmtId="0" fontId="5" fillId="0" borderId="17" xfId="1" applyNumberFormat="1" applyFont="1" applyBorder="1" applyAlignment="1" applyProtection="1">
      <alignment horizontal="left" vertical="center" wrapText="1"/>
    </xf>
    <xf numFmtId="0" fontId="7" fillId="0" borderId="3" xfId="1" applyNumberFormat="1" applyFont="1" applyBorder="1" applyAlignment="1" applyProtection="1">
      <alignment horizontal="left" vertical="center" wrapText="1"/>
    </xf>
    <xf numFmtId="0" fontId="7" fillId="0" borderId="7" xfId="1" applyNumberFormat="1" applyFont="1" applyBorder="1" applyAlignment="1" applyProtection="1">
      <alignment horizontal="left" vertical="center" wrapText="1"/>
    </xf>
    <xf numFmtId="0" fontId="5" fillId="2" borderId="5" xfId="0" applyFont="1" applyFill="1" applyBorder="1" applyAlignment="1" applyProtection="1">
      <alignment horizontal="left" wrapText="1"/>
      <protection locked="0"/>
    </xf>
    <xf numFmtId="0" fontId="23" fillId="2" borderId="5" xfId="0" applyFont="1" applyFill="1" applyBorder="1" applyAlignment="1" applyProtection="1">
      <alignment wrapText="1"/>
      <protection locked="0"/>
    </xf>
    <xf numFmtId="3" fontId="4" fillId="0" borderId="0" xfId="1" applyNumberFormat="1" applyFont="1" applyBorder="1" applyAlignment="1" applyProtection="1">
      <alignment horizontal="center"/>
    </xf>
    <xf numFmtId="0" fontId="0" fillId="0" borderId="0" xfId="0" applyAlignment="1">
      <alignment horizontal="center"/>
    </xf>
    <xf numFmtId="3" fontId="4" fillId="0" borderId="2" xfId="1" applyNumberFormat="1" applyFont="1" applyBorder="1" applyAlignment="1" applyProtection="1">
      <alignment horizontal="center"/>
    </xf>
    <xf numFmtId="0" fontId="0" fillId="0" borderId="2" xfId="0" applyBorder="1" applyAlignment="1">
      <alignment horizontal="center"/>
    </xf>
    <xf numFmtId="3" fontId="7" fillId="0" borderId="17" xfId="1" applyNumberFormat="1" applyFont="1" applyBorder="1" applyAlignment="1" applyProtection="1">
      <alignment horizontal="center"/>
    </xf>
    <xf numFmtId="0" fontId="0" fillId="0" borderId="7" xfId="0" applyBorder="1" applyAlignment="1">
      <alignment horizontal="center"/>
    </xf>
    <xf numFmtId="0" fontId="5" fillId="0" borderId="17" xfId="0" applyFont="1" applyBorder="1" applyAlignment="1">
      <alignment horizontal="left" wrapText="1"/>
    </xf>
    <xf numFmtId="0" fontId="23" fillId="0" borderId="3" xfId="0" applyFont="1" applyBorder="1" applyAlignment="1">
      <alignment wrapText="1"/>
    </xf>
    <xf numFmtId="0" fontId="23" fillId="0" borderId="7" xfId="0" applyFont="1" applyBorder="1" applyAlignment="1">
      <alignment wrapText="1"/>
    </xf>
    <xf numFmtId="172" fontId="5" fillId="2" borderId="5" xfId="0" applyNumberFormat="1" applyFont="1" applyFill="1" applyBorder="1" applyAlignment="1" applyProtection="1">
      <alignment horizontal="left" wrapText="1"/>
      <protection locked="0"/>
    </xf>
    <xf numFmtId="172" fontId="23" fillId="2" borderId="5" xfId="0" applyNumberFormat="1" applyFont="1" applyFill="1" applyBorder="1" applyAlignment="1" applyProtection="1">
      <alignment wrapText="1"/>
      <protection locked="0"/>
    </xf>
    <xf numFmtId="49" fontId="95" fillId="2" borderId="17" xfId="42" applyNumberFormat="1" applyFont="1" applyFill="1" applyBorder="1" applyAlignment="1" applyProtection="1">
      <alignment horizontal="left"/>
      <protection locked="0"/>
    </xf>
    <xf numFmtId="49" fontId="95" fillId="2" borderId="3" xfId="42" applyNumberFormat="1" applyFont="1" applyFill="1" applyBorder="1" applyAlignment="1" applyProtection="1">
      <alignment horizontal="left"/>
      <protection locked="0"/>
    </xf>
    <xf numFmtId="49" fontId="95" fillId="2" borderId="7" xfId="42" applyNumberFormat="1" applyFont="1" applyFill="1" applyBorder="1" applyAlignment="1" applyProtection="1">
      <alignment horizontal="left"/>
      <protection locked="0"/>
    </xf>
    <xf numFmtId="170" fontId="5" fillId="2" borderId="5" xfId="0" applyNumberFormat="1" applyFont="1" applyFill="1" applyBorder="1" applyAlignment="1" applyProtection="1">
      <alignment horizontal="left" wrapText="1"/>
      <protection locked="0"/>
    </xf>
    <xf numFmtId="170" fontId="23" fillId="2" borderId="5" xfId="0" applyNumberFormat="1" applyFont="1" applyFill="1" applyBorder="1" applyAlignment="1" applyProtection="1">
      <alignment wrapText="1"/>
      <protection locked="0"/>
    </xf>
    <xf numFmtId="3" fontId="7" fillId="0" borderId="17" xfId="1" applyNumberFormat="1" applyFont="1" applyBorder="1" applyAlignment="1" applyProtection="1">
      <alignment horizontal="center" wrapText="1"/>
    </xf>
    <xf numFmtId="0" fontId="0" fillId="0" borderId="7" xfId="0" applyBorder="1" applyAlignment="1">
      <alignment horizontal="center" wrapText="1"/>
    </xf>
    <xf numFmtId="0" fontId="5" fillId="0" borderId="0" xfId="0" applyFont="1" applyAlignment="1">
      <alignment wrapText="1"/>
    </xf>
    <xf numFmtId="0" fontId="5" fillId="0" borderId="1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53" fillId="0" borderId="0" xfId="0" applyFont="1" applyAlignment="1">
      <alignment horizontal="left" wrapText="1"/>
    </xf>
    <xf numFmtId="165" fontId="5" fillId="0" borderId="17" xfId="1" applyNumberFormat="1" applyFont="1" applyBorder="1" applyAlignment="1" applyProtection="1">
      <alignment horizontal="center" vertical="center" wrapText="1"/>
    </xf>
    <xf numFmtId="165" fontId="7" fillId="0" borderId="3" xfId="1" applyNumberFormat="1" applyFont="1" applyBorder="1" applyAlignment="1" applyProtection="1">
      <alignment horizontal="center" vertical="center" wrapText="1"/>
    </xf>
    <xf numFmtId="165" fontId="7" fillId="0" borderId="7" xfId="1" applyNumberFormat="1" applyFont="1" applyBorder="1" applyAlignment="1" applyProtection="1">
      <alignment horizontal="center"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5" fillId="2" borderId="17" xfId="0" applyFont="1" applyFill="1" applyBorder="1" applyAlignment="1" applyProtection="1">
      <alignment horizontal="left" wrapText="1"/>
      <protection locked="0"/>
    </xf>
    <xf numFmtId="0" fontId="0" fillId="2" borderId="3" xfId="0" applyFill="1" applyBorder="1" applyAlignment="1" applyProtection="1">
      <alignment wrapText="1"/>
      <protection locked="0"/>
    </xf>
    <xf numFmtId="0" fontId="0" fillId="2" borderId="7" xfId="0" applyFill="1" applyBorder="1" applyAlignment="1" applyProtection="1">
      <alignment wrapText="1"/>
      <protection locked="0"/>
    </xf>
    <xf numFmtId="172" fontId="5" fillId="2" borderId="17" xfId="0" applyNumberFormat="1" applyFont="1" applyFill="1" applyBorder="1" applyAlignment="1" applyProtection="1">
      <alignment horizontal="left" wrapText="1"/>
      <protection locked="0"/>
    </xf>
    <xf numFmtId="172" fontId="0" fillId="2" borderId="3" xfId="0" applyNumberFormat="1" applyFill="1" applyBorder="1" applyAlignment="1" applyProtection="1">
      <alignment wrapText="1"/>
      <protection locked="0"/>
    </xf>
    <xf numFmtId="172" fontId="0" fillId="2" borderId="7" xfId="0" applyNumberFormat="1" applyFill="1" applyBorder="1" applyAlignment="1" applyProtection="1">
      <alignment wrapText="1"/>
      <protection locked="0"/>
    </xf>
    <xf numFmtId="170" fontId="5" fillId="2" borderId="17" xfId="0" applyNumberFormat="1" applyFont="1" applyFill="1" applyBorder="1" applyAlignment="1" applyProtection="1">
      <alignment horizontal="left" wrapText="1"/>
      <protection locked="0"/>
    </xf>
    <xf numFmtId="170" fontId="0" fillId="2" borderId="3" xfId="0" applyNumberFormat="1" applyFill="1" applyBorder="1" applyAlignment="1" applyProtection="1">
      <alignment wrapText="1"/>
      <protection locked="0"/>
    </xf>
    <xf numFmtId="170" fontId="0" fillId="2" borderId="7" xfId="0" applyNumberFormat="1" applyFill="1" applyBorder="1" applyAlignment="1" applyProtection="1">
      <alignment wrapText="1"/>
      <protection locked="0"/>
    </xf>
    <xf numFmtId="0" fontId="5" fillId="0" borderId="11" xfId="0" applyFont="1" applyBorder="1" applyAlignment="1">
      <alignment horizontal="right" wrapText="1"/>
    </xf>
    <xf numFmtId="0" fontId="5" fillId="0" borderId="5" xfId="0" applyFont="1" applyBorder="1" applyAlignment="1">
      <alignment horizontal="left" wrapText="1"/>
    </xf>
    <xf numFmtId="0" fontId="0" fillId="0" borderId="5" xfId="0" applyBorder="1" applyAlignment="1">
      <alignment wrapText="1"/>
    </xf>
    <xf numFmtId="0" fontId="0" fillId="2" borderId="5" xfId="0" applyFill="1" applyBorder="1" applyAlignment="1" applyProtection="1">
      <alignment wrapText="1"/>
      <protection locked="0"/>
    </xf>
    <xf numFmtId="172" fontId="0" fillId="2" borderId="5" xfId="0" applyNumberFormat="1" applyFill="1" applyBorder="1" applyAlignment="1" applyProtection="1">
      <alignment wrapText="1"/>
      <protection locked="0"/>
    </xf>
    <xf numFmtId="3" fontId="5" fillId="0" borderId="0" xfId="1" applyNumberFormat="1" applyFont="1" applyBorder="1" applyAlignment="1" applyProtection="1">
      <alignment horizontal="center" wrapText="1"/>
    </xf>
    <xf numFmtId="3" fontId="0" fillId="0" borderId="0" xfId="0" applyNumberFormat="1" applyAlignment="1">
      <alignment wrapText="1"/>
    </xf>
    <xf numFmtId="0" fontId="7" fillId="0" borderId="17" xfId="0" applyFont="1" applyBorder="1" applyAlignment="1">
      <alignment horizontal="left"/>
    </xf>
    <xf numFmtId="0" fontId="7" fillId="0" borderId="3" xfId="0" applyFont="1" applyBorder="1" applyAlignment="1">
      <alignment horizontal="left"/>
    </xf>
    <xf numFmtId="0" fontId="7" fillId="0" borderId="7" xfId="0" applyFont="1" applyBorder="1" applyAlignment="1">
      <alignment horizontal="left"/>
    </xf>
    <xf numFmtId="170" fontId="7" fillId="2" borderId="17" xfId="0" applyNumberFormat="1" applyFont="1" applyFill="1" applyBorder="1" applyAlignment="1" applyProtection="1">
      <alignment horizontal="left"/>
      <protection locked="0"/>
    </xf>
    <xf numFmtId="170" fontId="7" fillId="0" borderId="3" xfId="0" applyNumberFormat="1" applyFont="1" applyBorder="1" applyAlignment="1" applyProtection="1">
      <alignment horizontal="left"/>
      <protection locked="0"/>
    </xf>
    <xf numFmtId="170" fontId="7" fillId="0" borderId="7" xfId="0" applyNumberFormat="1" applyFont="1" applyBorder="1" applyAlignment="1" applyProtection="1">
      <alignment horizontal="left"/>
      <protection locked="0"/>
    </xf>
    <xf numFmtId="0" fontId="5" fillId="0" borderId="17"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7" fillId="0" borderId="17" xfId="0" applyFont="1" applyBorder="1" applyAlignment="1">
      <alignment horizontal="left" wrapText="1"/>
    </xf>
    <xf numFmtId="0" fontId="7" fillId="0" borderId="3" xfId="0" applyFont="1" applyBorder="1" applyAlignment="1">
      <alignment horizontal="left" wrapText="1"/>
    </xf>
    <xf numFmtId="0" fontId="7" fillId="0" borderId="7" xfId="0" applyFont="1" applyBorder="1" applyAlignment="1">
      <alignment horizontal="left" wrapText="1"/>
    </xf>
    <xf numFmtId="0" fontId="7" fillId="2" borderId="17" xfId="0" applyFont="1" applyFill="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7" xfId="0" applyFont="1" applyBorder="1" applyAlignment="1" applyProtection="1">
      <alignment horizontal="left"/>
      <protection locked="0"/>
    </xf>
    <xf numFmtId="172" fontId="7" fillId="2" borderId="17" xfId="0" applyNumberFormat="1" applyFont="1" applyFill="1" applyBorder="1" applyAlignment="1" applyProtection="1">
      <alignment horizontal="left"/>
      <protection locked="0"/>
    </xf>
    <xf numFmtId="172" fontId="7" fillId="0" borderId="3" xfId="0" applyNumberFormat="1" applyFont="1" applyBorder="1" applyAlignment="1" applyProtection="1">
      <alignment horizontal="left"/>
      <protection locked="0"/>
    </xf>
    <xf numFmtId="172" fontId="7" fillId="0" borderId="7" xfId="0" applyNumberFormat="1" applyFont="1" applyBorder="1" applyAlignment="1" applyProtection="1">
      <alignment horizontal="left"/>
      <protection locked="0"/>
    </xf>
    <xf numFmtId="0" fontId="23" fillId="0" borderId="5" xfId="0" applyFont="1" applyBorder="1" applyAlignment="1">
      <alignment horizontal="left" vertical="top" wrapText="1"/>
    </xf>
    <xf numFmtId="0" fontId="0" fillId="0" borderId="5" xfId="0" applyBorder="1" applyAlignment="1">
      <alignment horizontal="left" vertical="top" wrapText="1"/>
    </xf>
    <xf numFmtId="0" fontId="4" fillId="0" borderId="0" xfId="28" applyFont="1" applyAlignment="1">
      <alignment wrapText="1"/>
    </xf>
    <xf numFmtId="0" fontId="36" fillId="0" borderId="0" xfId="0" applyFont="1" applyAlignment="1">
      <alignment wrapText="1"/>
    </xf>
    <xf numFmtId="0" fontId="5" fillId="0" borderId="0" xfId="28" applyFont="1" applyAlignment="1">
      <alignment horizontal="right" wrapText="1"/>
    </xf>
    <xf numFmtId="0" fontId="0" fillId="0" borderId="11" xfId="0" applyBorder="1" applyAlignment="1">
      <alignment wrapText="1"/>
    </xf>
    <xf numFmtId="0" fontId="23" fillId="0" borderId="17" xfId="0" applyFont="1" applyBorder="1" applyAlignment="1">
      <alignment horizontal="left" vertical="top" wrapText="1"/>
    </xf>
    <xf numFmtId="0" fontId="23" fillId="0" borderId="3" xfId="0" applyFont="1" applyBorder="1" applyAlignment="1">
      <alignment horizontal="left" vertical="top" wrapText="1"/>
    </xf>
    <xf numFmtId="0" fontId="0" fillId="0" borderId="7" xfId="0" applyBorder="1" applyAlignment="1">
      <alignment horizontal="left" vertical="top" wrapText="1"/>
    </xf>
    <xf numFmtId="0" fontId="23" fillId="2" borderId="5" xfId="0" applyFont="1"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172" fontId="23" fillId="2" borderId="5" xfId="0" applyNumberFormat="1" applyFont="1" applyFill="1" applyBorder="1" applyAlignment="1" applyProtection="1">
      <alignment horizontal="left" vertical="top" wrapText="1"/>
      <protection locked="0"/>
    </xf>
    <xf numFmtId="172" fontId="0" fillId="2" borderId="5" xfId="0" applyNumberFormat="1" applyFill="1" applyBorder="1" applyAlignment="1" applyProtection="1">
      <alignment horizontal="left" vertical="top" wrapText="1"/>
      <protection locked="0"/>
    </xf>
    <xf numFmtId="170" fontId="23" fillId="2" borderId="5" xfId="0" applyNumberFormat="1" applyFont="1" applyFill="1" applyBorder="1" applyAlignment="1" applyProtection="1">
      <alignment horizontal="left" vertical="top" wrapText="1"/>
      <protection locked="0"/>
    </xf>
    <xf numFmtId="170" fontId="0" fillId="2" borderId="5" xfId="0" applyNumberFormat="1" applyFill="1" applyBorder="1" applyAlignment="1" applyProtection="1">
      <alignment horizontal="left" vertical="top" wrapText="1"/>
      <protection locked="0"/>
    </xf>
    <xf numFmtId="0" fontId="23" fillId="0" borderId="5" xfId="0" applyFont="1" applyBorder="1" applyAlignment="1">
      <alignment wrapText="1"/>
    </xf>
    <xf numFmtId="37" fontId="10" fillId="0" borderId="5" xfId="9" applyFont="1" applyBorder="1" applyAlignment="1">
      <alignment wrapText="1"/>
    </xf>
    <xf numFmtId="37" fontId="23" fillId="0" borderId="5" xfId="9" applyFont="1" applyBorder="1" applyAlignment="1">
      <alignment wrapText="1"/>
    </xf>
    <xf numFmtId="37" fontId="10" fillId="0" borderId="0" xfId="9" applyFont="1" applyAlignment="1">
      <alignment vertical="top" wrapText="1"/>
    </xf>
    <xf numFmtId="0" fontId="0" fillId="0" borderId="0" xfId="0" applyAlignment="1">
      <alignment vertical="top" wrapText="1"/>
    </xf>
    <xf numFmtId="37" fontId="10" fillId="0" borderId="0" xfId="9" applyFont="1" applyAlignment="1">
      <alignment wrapText="1"/>
    </xf>
    <xf numFmtId="37" fontId="10" fillId="2" borderId="5" xfId="9" applyFont="1" applyFill="1" applyBorder="1" applyAlignment="1" applyProtection="1">
      <alignment wrapText="1"/>
      <protection locked="0"/>
    </xf>
    <xf numFmtId="37" fontId="23" fillId="2" borderId="5" xfId="9" applyFont="1" applyFill="1" applyBorder="1" applyAlignment="1" applyProtection="1">
      <alignment wrapText="1"/>
      <protection locked="0"/>
    </xf>
    <xf numFmtId="0" fontId="7" fillId="0" borderId="0" xfId="28" applyFont="1" applyAlignment="1">
      <alignment wrapText="1"/>
    </xf>
    <xf numFmtId="0" fontId="23" fillId="0" borderId="0" xfId="0" applyFont="1" applyAlignment="1">
      <alignment wrapText="1"/>
    </xf>
    <xf numFmtId="37" fontId="23" fillId="0" borderId="0" xfId="9" applyFont="1" applyAlignment="1">
      <alignment wrapText="1"/>
    </xf>
    <xf numFmtId="37" fontId="10" fillId="0" borderId="0" xfId="9" applyFont="1" applyAlignment="1">
      <alignment horizontal="right"/>
    </xf>
    <xf numFmtId="37" fontId="23" fillId="0" borderId="0" xfId="9" applyFont="1" applyAlignment="1">
      <alignment horizontal="right"/>
    </xf>
    <xf numFmtId="37" fontId="23" fillId="11" borderId="0" xfId="9" quotePrefix="1" applyFont="1" applyFill="1" applyAlignment="1">
      <alignment horizontal="left" wrapText="1"/>
    </xf>
    <xf numFmtId="170" fontId="7" fillId="0" borderId="0" xfId="28" applyNumberFormat="1" applyFont="1" applyAlignment="1" applyProtection="1">
      <alignment horizontal="left" vertical="top" wrapText="1"/>
      <protection locked="0"/>
    </xf>
    <xf numFmtId="170" fontId="23" fillId="0" borderId="0" xfId="0" applyNumberFormat="1" applyFont="1" applyAlignment="1" applyProtection="1">
      <alignment horizontal="left" vertical="top" wrapText="1"/>
      <protection locked="0"/>
    </xf>
    <xf numFmtId="0" fontId="5" fillId="0" borderId="0" xfId="28" applyFont="1" applyAlignment="1">
      <alignment wrapText="1"/>
    </xf>
    <xf numFmtId="0" fontId="4" fillId="0" borderId="15" xfId="28" applyFont="1" applyBorder="1" applyAlignment="1">
      <alignment horizontal="left" wrapText="1"/>
    </xf>
    <xf numFmtId="0" fontId="5" fillId="0" borderId="0" xfId="28" quotePrefix="1" applyFont="1" applyAlignment="1">
      <alignment horizontal="left" vertical="center" wrapText="1"/>
    </xf>
    <xf numFmtId="3" fontId="53" fillId="2" borderId="17" xfId="28" applyNumberFormat="1" applyFont="1" applyFill="1" applyBorder="1" applyAlignment="1">
      <alignment horizontal="left"/>
    </xf>
    <xf numFmtId="3" fontId="53" fillId="2" borderId="3" xfId="28" applyNumberFormat="1" applyFont="1" applyFill="1" applyBorder="1" applyAlignment="1">
      <alignment horizontal="left"/>
    </xf>
    <xf numFmtId="3" fontId="53" fillId="2" borderId="7" xfId="28" applyNumberFormat="1" applyFont="1" applyFill="1" applyBorder="1" applyAlignment="1">
      <alignment horizontal="left"/>
    </xf>
    <xf numFmtId="170" fontId="7" fillId="2" borderId="5" xfId="28" applyNumberFormat="1" applyFont="1" applyFill="1" applyBorder="1" applyAlignment="1" applyProtection="1">
      <alignment horizontal="left" vertical="top" wrapText="1"/>
      <protection locked="0"/>
    </xf>
    <xf numFmtId="38" fontId="7" fillId="0" borderId="0" xfId="28" applyNumberFormat="1" applyFont="1" applyAlignment="1">
      <alignment horizontal="left" vertical="top" wrapText="1"/>
    </xf>
    <xf numFmtId="0" fontId="23" fillId="0" borderId="0" xfId="0" applyFont="1" applyAlignment="1">
      <alignment horizontal="left" vertical="top" wrapText="1"/>
    </xf>
    <xf numFmtId="38" fontId="7" fillId="0" borderId="0" xfId="28" applyNumberFormat="1"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172" fontId="7" fillId="0" borderId="0" xfId="28" applyNumberFormat="1" applyFont="1" applyAlignment="1" applyProtection="1">
      <alignment horizontal="left" vertical="top" wrapText="1"/>
      <protection locked="0"/>
    </xf>
    <xf numFmtId="172" fontId="23" fillId="0" borderId="0" xfId="0" applyNumberFormat="1" applyFont="1" applyAlignment="1" applyProtection="1">
      <alignment horizontal="left" vertical="top" wrapText="1"/>
      <protection locked="0"/>
    </xf>
    <xf numFmtId="38" fontId="7" fillId="0" borderId="5" xfId="28" applyNumberFormat="1" applyFont="1" applyBorder="1" applyAlignment="1">
      <alignment horizontal="left" vertical="top" wrapText="1"/>
    </xf>
    <xf numFmtId="38" fontId="7" fillId="0" borderId="17" xfId="28" applyNumberFormat="1" applyFont="1" applyBorder="1" applyAlignment="1">
      <alignment horizontal="left" vertical="top" wrapText="1"/>
    </xf>
    <xf numFmtId="0" fontId="23" fillId="0" borderId="7" xfId="0" applyFont="1" applyBorder="1" applyAlignment="1">
      <alignment horizontal="left" vertical="top" wrapText="1"/>
    </xf>
    <xf numFmtId="38" fontId="7" fillId="2" borderId="5" xfId="28" applyNumberFormat="1" applyFont="1" applyFill="1" applyBorder="1" applyAlignment="1" applyProtection="1">
      <alignment horizontal="left" vertical="top" wrapText="1"/>
      <protection locked="0"/>
    </xf>
    <xf numFmtId="172" fontId="7" fillId="2" borderId="5" xfId="28" applyNumberFormat="1" applyFont="1" applyFill="1" applyBorder="1" applyAlignment="1" applyProtection="1">
      <alignment horizontal="left" vertical="top" wrapText="1"/>
      <protection locked="0"/>
    </xf>
    <xf numFmtId="0" fontId="13" fillId="0" borderId="14" xfId="26" applyFont="1" applyBorder="1" applyAlignment="1">
      <alignment vertical="center" wrapText="1"/>
    </xf>
    <xf numFmtId="0" fontId="13" fillId="0" borderId="15" xfId="26" applyFont="1" applyBorder="1" applyAlignment="1">
      <alignment vertical="center" wrapText="1"/>
    </xf>
    <xf numFmtId="165" fontId="13" fillId="0" borderId="15" xfId="1" applyNumberFormat="1" applyFont="1" applyBorder="1" applyAlignment="1" applyProtection="1">
      <alignment vertical="center" wrapText="1"/>
    </xf>
    <xf numFmtId="165" fontId="13" fillId="0" borderId="16" xfId="1" applyNumberFormat="1" applyFont="1" applyBorder="1" applyAlignment="1" applyProtection="1">
      <alignment vertical="center" wrapText="1"/>
    </xf>
    <xf numFmtId="0" fontId="13" fillId="0" borderId="12" xfId="26" applyFont="1" applyBorder="1" applyAlignment="1">
      <alignment vertical="top" wrapText="1"/>
    </xf>
    <xf numFmtId="0" fontId="13" fillId="0" borderId="2" xfId="26" applyFont="1" applyBorder="1" applyAlignment="1">
      <alignment vertical="top" wrapText="1"/>
    </xf>
    <xf numFmtId="165" fontId="13" fillId="0" borderId="2" xfId="1" applyNumberFormat="1" applyFont="1" applyBorder="1" applyAlignment="1" applyProtection="1">
      <alignment vertical="top" wrapText="1"/>
    </xf>
    <xf numFmtId="165" fontId="13" fillId="0" borderId="13" xfId="1" applyNumberFormat="1" applyFont="1" applyBorder="1" applyAlignment="1" applyProtection="1">
      <alignment vertical="top" wrapText="1"/>
    </xf>
    <xf numFmtId="0" fontId="13" fillId="0" borderId="2" xfId="26" applyFont="1" applyBorder="1" applyAlignment="1">
      <alignment wrapText="1"/>
    </xf>
    <xf numFmtId="0" fontId="0" fillId="0" borderId="2" xfId="0" applyBorder="1" applyAlignment="1">
      <alignment wrapText="1"/>
    </xf>
    <xf numFmtId="0" fontId="13" fillId="0" borderId="0" xfId="26" applyFont="1" applyAlignment="1">
      <alignment wrapText="1"/>
    </xf>
    <xf numFmtId="0" fontId="52" fillId="0" borderId="10" xfId="26" applyFont="1" applyBorder="1" applyAlignment="1">
      <alignment vertical="center" wrapText="1"/>
    </xf>
    <xf numFmtId="0" fontId="72" fillId="0" borderId="0" xfId="0" applyFont="1" applyAlignment="1">
      <alignment vertical="center" wrapText="1"/>
    </xf>
    <xf numFmtId="0" fontId="72" fillId="0" borderId="11" xfId="0" applyFont="1" applyBorder="1" applyAlignment="1">
      <alignment vertical="center" wrapText="1"/>
    </xf>
    <xf numFmtId="0" fontId="13" fillId="2" borderId="17" xfId="26" applyFont="1" applyFill="1" applyBorder="1" applyAlignment="1">
      <alignment vertical="top" wrapText="1"/>
    </xf>
    <xf numFmtId="0" fontId="23" fillId="2" borderId="3" xfId="0" applyFont="1" applyFill="1" applyBorder="1" applyAlignment="1">
      <alignment vertical="top" wrapText="1"/>
    </xf>
    <xf numFmtId="0" fontId="23" fillId="2" borderId="7" xfId="0" applyFont="1" applyFill="1" applyBorder="1" applyAlignment="1">
      <alignment vertical="top" wrapText="1"/>
    </xf>
    <xf numFmtId="0" fontId="0" fillId="0" borderId="13" xfId="0" applyBorder="1" applyAlignment="1">
      <alignment wrapText="1"/>
    </xf>
    <xf numFmtId="0" fontId="13" fillId="2" borderId="17" xfId="26" applyFont="1"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8" fillId="0" borderId="15" xfId="26" applyFont="1" applyBorder="1" applyAlignment="1">
      <alignment horizontal="left" wrapText="1"/>
    </xf>
    <xf numFmtId="0" fontId="13" fillId="0" borderId="0" xfId="26" applyFont="1" applyAlignment="1">
      <alignment horizontal="left" wrapText="1"/>
    </xf>
    <xf numFmtId="165" fontId="13" fillId="0" borderId="2" xfId="1" applyNumberFormat="1" applyFont="1" applyBorder="1" applyAlignment="1" applyProtection="1">
      <alignment horizontal="center" vertical="center"/>
    </xf>
    <xf numFmtId="165" fontId="13" fillId="0" borderId="0" xfId="1" applyNumberFormat="1" applyFont="1" applyAlignment="1" applyProtection="1">
      <alignment horizontal="center" vertical="center"/>
    </xf>
    <xf numFmtId="165" fontId="13" fillId="0" borderId="0" xfId="1" applyNumberFormat="1" applyFont="1" applyBorder="1" applyAlignment="1" applyProtection="1">
      <alignment horizontal="center" vertical="center"/>
    </xf>
    <xf numFmtId="0" fontId="13" fillId="2" borderId="3" xfId="26" applyFont="1" applyFill="1" applyBorder="1" applyAlignment="1" applyProtection="1">
      <alignment vertical="top" wrapText="1"/>
      <protection locked="0"/>
    </xf>
    <xf numFmtId="165" fontId="13" fillId="2" borderId="3" xfId="1" applyNumberFormat="1" applyFont="1" applyFill="1" applyBorder="1" applyAlignment="1" applyProtection="1">
      <alignment vertical="top" wrapText="1"/>
      <protection locked="0"/>
    </xf>
    <xf numFmtId="165" fontId="13" fillId="2" borderId="7" xfId="1" applyNumberFormat="1" applyFont="1" applyFill="1" applyBorder="1" applyAlignment="1" applyProtection="1">
      <alignment vertical="top" wrapText="1"/>
      <protection locked="0"/>
    </xf>
    <xf numFmtId="165" fontId="13" fillId="0" borderId="0" xfId="1" applyNumberFormat="1" applyFont="1" applyFill="1" applyBorder="1" applyAlignment="1" applyProtection="1">
      <alignment horizontal="right" vertical="top" wrapText="1"/>
    </xf>
    <xf numFmtId="0" fontId="0" fillId="0" borderId="11" xfId="0" applyBorder="1" applyAlignment="1">
      <alignment vertical="top" wrapText="1"/>
    </xf>
    <xf numFmtId="164" fontId="4" fillId="0" borderId="0" xfId="16" applyNumberFormat="1" applyFont="1" applyAlignment="1">
      <alignment horizontal="left" vertical="top" wrapText="1"/>
    </xf>
    <xf numFmtId="165" fontId="13" fillId="0" borderId="0" xfId="1" quotePrefix="1" applyNumberFormat="1" applyFont="1" applyAlignment="1" applyProtection="1">
      <alignment horizontal="center" vertical="center"/>
    </xf>
    <xf numFmtId="0" fontId="23" fillId="2" borderId="3" xfId="0" applyFont="1" applyFill="1" applyBorder="1" applyAlignment="1" applyProtection="1">
      <alignment vertical="top" wrapText="1"/>
      <protection locked="0"/>
    </xf>
    <xf numFmtId="0" fontId="23" fillId="2" borderId="7" xfId="0" applyFont="1" applyFill="1" applyBorder="1" applyAlignment="1" applyProtection="1">
      <alignment vertical="top" wrapText="1"/>
      <protection locked="0"/>
    </xf>
    <xf numFmtId="166" fontId="13" fillId="0" borderId="2" xfId="1" quotePrefix="1" applyNumberFormat="1" applyFont="1" applyBorder="1" applyAlignment="1" applyProtection="1">
      <alignment horizontal="center" vertical="center"/>
    </xf>
    <xf numFmtId="166" fontId="13" fillId="0" borderId="2" xfId="1" applyNumberFormat="1" applyFont="1" applyBorder="1" applyAlignment="1" applyProtection="1">
      <alignment horizontal="center" vertical="center"/>
    </xf>
    <xf numFmtId="0" fontId="13" fillId="2" borderId="17" xfId="26" applyFont="1" applyFill="1" applyBorder="1" applyAlignment="1" applyProtection="1">
      <alignment wrapText="1"/>
      <protection locked="0"/>
    </xf>
    <xf numFmtId="0" fontId="0" fillId="0" borderId="3" xfId="0" applyBorder="1" applyAlignment="1" applyProtection="1">
      <alignment wrapText="1"/>
      <protection locked="0"/>
    </xf>
    <xf numFmtId="0" fontId="0" fillId="0" borderId="7" xfId="0" applyBorder="1" applyAlignment="1" applyProtection="1">
      <alignment wrapText="1"/>
      <protection locked="0"/>
    </xf>
    <xf numFmtId="0" fontId="13" fillId="0" borderId="0" xfId="26" applyFont="1" applyAlignment="1">
      <alignment horizontal="right"/>
    </xf>
    <xf numFmtId="0" fontId="13" fillId="0" borderId="0" xfId="26" applyFont="1" applyAlignment="1">
      <alignment horizontal="left" vertical="top" wrapText="1"/>
    </xf>
    <xf numFmtId="0" fontId="13" fillId="2" borderId="5" xfId="0" applyFont="1" applyFill="1" applyBorder="1" applyAlignment="1" applyProtection="1">
      <alignment wrapText="1"/>
      <protection locked="0"/>
    </xf>
    <xf numFmtId="0" fontId="74" fillId="0" borderId="10" xfId="16" applyFont="1" applyBorder="1" applyAlignment="1">
      <alignment horizontal="center" wrapText="1"/>
    </xf>
    <xf numFmtId="0" fontId="74" fillId="0" borderId="0" xfId="16" applyFont="1" applyAlignment="1">
      <alignment horizontal="center" wrapText="1"/>
    </xf>
    <xf numFmtId="0" fontId="4" fillId="0" borderId="2" xfId="16" applyFont="1" applyBorder="1" applyAlignment="1">
      <alignment horizontal="left" wrapText="1"/>
    </xf>
    <xf numFmtId="0" fontId="13" fillId="2" borderId="17" xfId="26" applyFont="1" applyFill="1" applyBorder="1" applyAlignment="1" applyProtection="1">
      <alignment horizontal="left" vertical="top" wrapText="1"/>
      <protection locked="0"/>
    </xf>
    <xf numFmtId="0" fontId="13" fillId="2" borderId="3" xfId="26" applyFont="1" applyFill="1" applyBorder="1" applyAlignment="1" applyProtection="1">
      <alignment horizontal="left" vertical="top" wrapText="1"/>
      <protection locked="0"/>
    </xf>
    <xf numFmtId="0" fontId="13" fillId="2" borderId="7" xfId="26" applyFont="1" applyFill="1" applyBorder="1" applyAlignment="1" applyProtection="1">
      <alignment horizontal="left" vertical="top" wrapText="1"/>
      <protection locked="0"/>
    </xf>
    <xf numFmtId="0" fontId="25" fillId="0" borderId="5" xfId="16" applyFont="1" applyBorder="1" applyAlignment="1">
      <alignment horizontal="center"/>
    </xf>
    <xf numFmtId="0" fontId="25" fillId="0" borderId="0" xfId="16" applyFont="1" applyAlignment="1">
      <alignment horizontal="left" wrapText="1"/>
    </xf>
    <xf numFmtId="170" fontId="23" fillId="2" borderId="17" xfId="16" applyNumberFormat="1" applyFont="1" applyFill="1" applyBorder="1" applyAlignment="1" applyProtection="1">
      <alignment horizontal="left" vertical="top" wrapText="1"/>
      <protection locked="0"/>
    </xf>
    <xf numFmtId="170" fontId="23" fillId="2" borderId="3" xfId="16" applyNumberFormat="1" applyFont="1" applyFill="1" applyBorder="1" applyAlignment="1" applyProtection="1">
      <alignment horizontal="left" vertical="top" wrapText="1"/>
      <protection locked="0"/>
    </xf>
    <xf numFmtId="170" fontId="23" fillId="2" borderId="7" xfId="16" applyNumberFormat="1" applyFont="1" applyFill="1" applyBorder="1" applyAlignment="1" applyProtection="1">
      <alignment horizontal="left" vertical="top" wrapText="1"/>
      <protection locked="0"/>
    </xf>
    <xf numFmtId="164" fontId="7" fillId="0" borderId="0" xfId="16" applyNumberFormat="1" applyFont="1" applyAlignment="1">
      <alignment horizontal="left" wrapText="1"/>
    </xf>
    <xf numFmtId="0" fontId="7" fillId="0" borderId="0" xfId="16" applyFont="1" applyAlignment="1">
      <alignment wrapText="1"/>
    </xf>
    <xf numFmtId="0" fontId="10" fillId="0" borderId="0" xfId="16" applyAlignment="1">
      <alignment vertical="top" wrapText="1"/>
    </xf>
    <xf numFmtId="0" fontId="23" fillId="0" borderId="11" xfId="16" applyFont="1" applyBorder="1" applyAlignment="1">
      <alignment vertical="top" wrapText="1"/>
    </xf>
    <xf numFmtId="0" fontId="5" fillId="0" borderId="0" xfId="16" applyFont="1" applyAlignment="1">
      <alignment horizontal="left" wrapText="1"/>
    </xf>
    <xf numFmtId="0" fontId="10" fillId="0" borderId="5" xfId="16" applyBorder="1" applyAlignment="1">
      <alignment horizontal="center" wrapText="1"/>
    </xf>
    <xf numFmtId="0" fontId="5" fillId="0" borderId="5" xfId="16" applyFont="1" applyBorder="1" applyAlignment="1">
      <alignment horizontal="center"/>
    </xf>
    <xf numFmtId="0" fontId="23" fillId="0" borderId="17" xfId="16" applyFont="1" applyBorder="1" applyAlignment="1">
      <alignment horizontal="left" vertical="top" wrapText="1"/>
    </xf>
    <xf numFmtId="0" fontId="23" fillId="0" borderId="3" xfId="16" applyFont="1" applyBorder="1" applyAlignment="1">
      <alignment horizontal="left" vertical="top" wrapText="1"/>
    </xf>
    <xf numFmtId="0" fontId="23" fillId="0" borderId="7" xfId="16" applyFont="1" applyBorder="1" applyAlignment="1">
      <alignment horizontal="left" vertical="top" wrapText="1"/>
    </xf>
    <xf numFmtId="0" fontId="13" fillId="2" borderId="17" xfId="16" applyFont="1" applyFill="1" applyBorder="1" applyAlignment="1" applyProtection="1">
      <alignment horizontal="left" vertical="top" wrapText="1"/>
      <protection locked="0"/>
    </xf>
    <xf numFmtId="0" fontId="23" fillId="2" borderId="3" xfId="0" applyFont="1" applyFill="1" applyBorder="1" applyAlignment="1" applyProtection="1">
      <alignment horizontal="left" vertical="top" wrapText="1"/>
      <protection locked="0"/>
    </xf>
    <xf numFmtId="0" fontId="23" fillId="2" borderId="7" xfId="0" applyFont="1" applyFill="1" applyBorder="1" applyAlignment="1" applyProtection="1">
      <alignment horizontal="left" vertical="top" wrapText="1"/>
      <protection locked="0"/>
    </xf>
    <xf numFmtId="0" fontId="4" fillId="0" borderId="0" xfId="16" applyFont="1" applyAlignment="1">
      <alignment wrapText="1"/>
    </xf>
    <xf numFmtId="0" fontId="13" fillId="2" borderId="17" xfId="16" applyFont="1" applyFill="1" applyBorder="1" applyAlignment="1" applyProtection="1">
      <alignment vertical="top" wrapText="1"/>
      <protection locked="0"/>
    </xf>
    <xf numFmtId="0" fontId="25" fillId="0" borderId="17" xfId="16" applyFont="1" applyBorder="1" applyAlignment="1">
      <alignment horizontal="center"/>
    </xf>
    <xf numFmtId="0" fontId="25" fillId="0" borderId="3" xfId="16" applyFont="1" applyBorder="1" applyAlignment="1">
      <alignment horizontal="center"/>
    </xf>
    <xf numFmtId="0" fontId="25" fillId="0" borderId="7" xfId="16" applyFont="1" applyBorder="1" applyAlignment="1">
      <alignment horizontal="center"/>
    </xf>
    <xf numFmtId="0" fontId="4" fillId="0" borderId="0" xfId="16" applyFont="1" applyAlignment="1">
      <alignment horizontal="left"/>
    </xf>
    <xf numFmtId="0" fontId="23" fillId="2" borderId="17" xfId="16" applyFont="1" applyFill="1" applyBorder="1" applyAlignment="1" applyProtection="1">
      <alignment horizontal="left" vertical="top" wrapText="1"/>
      <protection locked="0"/>
    </xf>
    <xf numFmtId="0" fontId="23" fillId="2" borderId="3" xfId="16" applyFont="1" applyFill="1" applyBorder="1" applyAlignment="1" applyProtection="1">
      <alignment horizontal="left" vertical="top" wrapText="1"/>
      <protection locked="0"/>
    </xf>
    <xf numFmtId="0" fontId="23" fillId="2" borderId="7" xfId="16" applyFont="1" applyFill="1" applyBorder="1" applyAlignment="1" applyProtection="1">
      <alignment horizontal="left" vertical="top" wrapText="1"/>
      <protection locked="0"/>
    </xf>
    <xf numFmtId="172" fontId="23" fillId="2" borderId="17" xfId="16" applyNumberFormat="1" applyFont="1" applyFill="1" applyBorder="1" applyAlignment="1" applyProtection="1">
      <alignment horizontal="left" vertical="top" wrapText="1"/>
      <protection locked="0"/>
    </xf>
    <xf numFmtId="172" fontId="23" fillId="2" borderId="3" xfId="16" applyNumberFormat="1" applyFont="1" applyFill="1" applyBorder="1" applyAlignment="1" applyProtection="1">
      <alignment horizontal="left" vertical="top" wrapText="1"/>
      <protection locked="0"/>
    </xf>
    <xf numFmtId="172" fontId="23" fillId="2" borderId="7" xfId="16" applyNumberFormat="1" applyFont="1" applyFill="1" applyBorder="1" applyAlignment="1" applyProtection="1">
      <alignment horizontal="left" vertical="top" wrapText="1"/>
      <protection locked="0"/>
    </xf>
    <xf numFmtId="0" fontId="4" fillId="0" borderId="0" xfId="16" applyFont="1" applyAlignment="1">
      <alignment horizontal="left" wrapText="1"/>
    </xf>
    <xf numFmtId="0" fontId="7" fillId="0" borderId="17" xfId="16" applyFont="1" applyBorder="1" applyAlignment="1">
      <alignment horizontal="center" wrapText="1"/>
    </xf>
    <xf numFmtId="164" fontId="5" fillId="0" borderId="17" xfId="16" applyNumberFormat="1" applyFont="1" applyBorder="1" applyAlignment="1">
      <alignment horizontal="left" wrapText="1"/>
    </xf>
    <xf numFmtId="164" fontId="5" fillId="0" borderId="3" xfId="16" applyNumberFormat="1" applyFont="1" applyBorder="1" applyAlignment="1">
      <alignment horizontal="left" wrapText="1"/>
    </xf>
    <xf numFmtId="164" fontId="5" fillId="0" borderId="7" xfId="16" applyNumberFormat="1" applyFont="1" applyBorder="1" applyAlignment="1">
      <alignment horizontal="left" wrapText="1"/>
    </xf>
    <xf numFmtId="0" fontId="10" fillId="2" borderId="5" xfId="16" applyFill="1" applyBorder="1" applyAlignment="1" applyProtection="1">
      <alignment wrapText="1"/>
      <protection locked="0"/>
    </xf>
    <xf numFmtId="0" fontId="0" fillId="0" borderId="5" xfId="0" applyBorder="1" applyAlignment="1" applyProtection="1">
      <alignment wrapText="1"/>
      <protection locked="0"/>
    </xf>
    <xf numFmtId="164" fontId="4" fillId="0" borderId="5" xfId="16" applyNumberFormat="1" applyFont="1" applyBorder="1" applyAlignment="1">
      <alignment horizontal="left" wrapText="1"/>
    </xf>
    <xf numFmtId="164" fontId="5" fillId="0" borderId="5" xfId="16" applyNumberFormat="1" applyFont="1" applyBorder="1" applyAlignment="1">
      <alignment horizontal="left" wrapText="1"/>
    </xf>
    <xf numFmtId="164" fontId="5" fillId="0" borderId="0" xfId="16" applyNumberFormat="1" applyFont="1" applyAlignment="1">
      <alignment horizontal="left" wrapText="1"/>
    </xf>
    <xf numFmtId="0" fontId="10" fillId="0" borderId="5" xfId="16" applyBorder="1" applyAlignment="1">
      <alignment wrapText="1"/>
    </xf>
    <xf numFmtId="164" fontId="5" fillId="0" borderId="5" xfId="16" applyNumberFormat="1" applyFont="1" applyBorder="1" applyAlignment="1">
      <alignment horizontal="right" wrapText="1" indent="2"/>
    </xf>
    <xf numFmtId="0" fontId="4" fillId="0" borderId="17" xfId="18" applyFont="1" applyBorder="1" applyAlignment="1">
      <alignment horizontal="left"/>
    </xf>
    <xf numFmtId="0" fontId="5" fillId="0" borderId="3" xfId="18" applyFont="1" applyBorder="1" applyAlignment="1">
      <alignment horizontal="left"/>
    </xf>
    <xf numFmtId="0" fontId="5" fillId="0" borderId="7" xfId="18" applyFont="1" applyBorder="1" applyAlignment="1">
      <alignment horizontal="left"/>
    </xf>
    <xf numFmtId="0" fontId="5" fillId="0" borderId="17" xfId="18" applyFont="1" applyBorder="1" applyAlignment="1">
      <alignment horizontal="left" vertical="top" wrapText="1"/>
    </xf>
    <xf numFmtId="0" fontId="5" fillId="0" borderId="7" xfId="18" applyFont="1" applyBorder="1" applyAlignment="1">
      <alignment horizontal="left" vertical="top" wrapText="1"/>
    </xf>
    <xf numFmtId="0" fontId="5" fillId="6" borderId="17" xfId="18" applyFont="1" applyFill="1" applyBorder="1" applyAlignment="1" applyProtection="1">
      <alignment horizontal="left" vertical="top" wrapText="1"/>
      <protection locked="0"/>
    </xf>
    <xf numFmtId="0" fontId="5" fillId="6" borderId="3" xfId="18" applyFont="1" applyFill="1" applyBorder="1" applyAlignment="1" applyProtection="1">
      <alignment horizontal="left" vertical="top" wrapText="1"/>
      <protection locked="0"/>
    </xf>
    <xf numFmtId="0" fontId="5" fillId="6" borderId="7" xfId="18" applyFont="1" applyFill="1" applyBorder="1" applyAlignment="1" applyProtection="1">
      <alignment horizontal="left" vertical="top" wrapText="1"/>
      <protection locked="0"/>
    </xf>
    <xf numFmtId="0" fontId="5" fillId="0" borderId="5" xfId="18" applyFont="1" applyBorder="1" applyAlignment="1">
      <alignment horizontal="left" vertical="top" wrapText="1"/>
    </xf>
    <xf numFmtId="0" fontId="4" fillId="0" borderId="0" xfId="18" applyFont="1" applyAlignment="1">
      <alignment vertical="top" wrapText="1"/>
    </xf>
    <xf numFmtId="0" fontId="5" fillId="0" borderId="17" xfId="18" applyFont="1" applyBorder="1" applyAlignment="1">
      <alignment vertical="top" wrapText="1"/>
    </xf>
    <xf numFmtId="0" fontId="5" fillId="0" borderId="3" xfId="18" applyFont="1" applyBorder="1" applyAlignment="1">
      <alignment vertical="top" wrapText="1"/>
    </xf>
    <xf numFmtId="0" fontId="5" fillId="0" borderId="7" xfId="18" applyFont="1" applyBorder="1" applyAlignment="1">
      <alignment vertical="top" wrapText="1"/>
    </xf>
    <xf numFmtId="0" fontId="5" fillId="6" borderId="17" xfId="18" applyFont="1" applyFill="1" applyBorder="1" applyAlignment="1" applyProtection="1">
      <alignment vertical="top" wrapText="1"/>
      <protection locked="0"/>
    </xf>
    <xf numFmtId="0" fontId="5" fillId="6" borderId="3" xfId="18" applyFont="1" applyFill="1" applyBorder="1" applyAlignment="1" applyProtection="1">
      <alignment vertical="top" wrapText="1"/>
      <protection locked="0"/>
    </xf>
    <xf numFmtId="0" fontId="5" fillId="6" borderId="7" xfId="18" applyFont="1" applyFill="1" applyBorder="1" applyAlignment="1" applyProtection="1">
      <alignment vertical="top" wrapText="1"/>
      <protection locked="0"/>
    </xf>
    <xf numFmtId="0" fontId="4" fillId="0" borderId="17" xfId="18" applyFont="1" applyBorder="1" applyAlignment="1">
      <alignment vertical="top" wrapText="1"/>
    </xf>
    <xf numFmtId="0" fontId="4" fillId="0" borderId="3" xfId="18" applyFont="1" applyBorder="1" applyAlignment="1">
      <alignment vertical="top" wrapText="1"/>
    </xf>
    <xf numFmtId="0" fontId="4" fillId="0" borderId="7" xfId="18" applyFont="1" applyBorder="1" applyAlignment="1">
      <alignment vertical="top" wrapText="1"/>
    </xf>
    <xf numFmtId="0" fontId="5" fillId="2" borderId="17" xfId="18" applyFont="1" applyFill="1" applyBorder="1" applyAlignment="1" applyProtection="1">
      <alignment horizontal="left" wrapText="1"/>
      <protection locked="0"/>
    </xf>
    <xf numFmtId="0" fontId="5" fillId="2" borderId="3" xfId="18" applyFont="1" applyFill="1" applyBorder="1" applyAlignment="1" applyProtection="1">
      <alignment horizontal="left" wrapText="1"/>
      <protection locked="0"/>
    </xf>
    <xf numFmtId="0" fontId="5" fillId="2" borderId="7" xfId="18" applyFont="1" applyFill="1" applyBorder="1" applyAlignment="1" applyProtection="1">
      <alignment horizontal="left" wrapText="1"/>
      <protection locked="0"/>
    </xf>
    <xf numFmtId="0" fontId="4" fillId="0" borderId="0" xfId="18" applyFont="1" applyAlignment="1">
      <alignment horizontal="left" vertical="center"/>
    </xf>
    <xf numFmtId="0" fontId="5" fillId="0" borderId="0" xfId="18" applyFont="1" applyAlignment="1">
      <alignment horizontal="left" vertical="center"/>
    </xf>
    <xf numFmtId="0" fontId="5" fillId="2" borderId="17" xfId="18" applyFont="1" applyFill="1" applyBorder="1" applyAlignment="1">
      <alignment horizontal="left" wrapText="1"/>
    </xf>
    <xf numFmtId="0" fontId="5" fillId="2" borderId="3" xfId="18" applyFont="1" applyFill="1" applyBorder="1" applyAlignment="1">
      <alignment horizontal="left" wrapText="1"/>
    </xf>
    <xf numFmtId="0" fontId="5" fillId="2" borderId="7" xfId="18" applyFont="1" applyFill="1" applyBorder="1" applyAlignment="1">
      <alignment horizontal="left" wrapText="1"/>
    </xf>
    <xf numFmtId="0" fontId="34" fillId="2" borderId="3" xfId="0" applyFont="1" applyFill="1" applyBorder="1" applyAlignment="1" applyProtection="1">
      <alignment horizontal="left" wrapText="1"/>
      <protection locked="0"/>
    </xf>
    <xf numFmtId="0" fontId="34" fillId="2" borderId="7" xfId="0" applyFont="1" applyFill="1" applyBorder="1" applyAlignment="1" applyProtection="1">
      <alignment horizontal="left" wrapText="1"/>
      <protection locked="0"/>
    </xf>
    <xf numFmtId="0" fontId="4" fillId="0" borderId="17" xfId="18" applyFont="1" applyBorder="1" applyAlignment="1">
      <alignment horizontal="left" vertical="top" wrapText="1"/>
    </xf>
    <xf numFmtId="0" fontId="5" fillId="0" borderId="3" xfId="18" applyFont="1" applyBorder="1" applyAlignment="1">
      <alignment horizontal="left" vertical="top" wrapText="1"/>
    </xf>
    <xf numFmtId="0" fontId="34" fillId="0" borderId="3" xfId="0" applyFont="1" applyBorder="1" applyAlignment="1">
      <alignment wrapText="1"/>
    </xf>
    <xf numFmtId="0" fontId="34" fillId="0" borderId="7" xfId="0" applyFont="1" applyBorder="1" applyAlignment="1">
      <alignment wrapText="1"/>
    </xf>
    <xf numFmtId="0" fontId="5" fillId="2" borderId="5" xfId="18" applyFont="1" applyFill="1" applyBorder="1" applyAlignment="1" applyProtection="1">
      <alignment horizontal="left" wrapText="1"/>
      <protection locked="0"/>
    </xf>
    <xf numFmtId="0" fontId="34" fillId="2" borderId="5" xfId="0" applyFont="1" applyFill="1" applyBorder="1" applyAlignment="1" applyProtection="1">
      <alignment horizontal="left" wrapText="1"/>
      <protection locked="0"/>
    </xf>
    <xf numFmtId="0" fontId="35" fillId="0" borderId="14" xfId="18" applyFont="1" applyBorder="1" applyAlignment="1">
      <alignment vertical="top" wrapText="1"/>
    </xf>
    <xf numFmtId="0" fontId="34" fillId="0" borderId="15" xfId="0" applyFont="1" applyBorder="1" applyAlignment="1">
      <alignment wrapText="1"/>
    </xf>
    <xf numFmtId="0" fontId="34" fillId="0" borderId="16" xfId="0" applyFont="1" applyBorder="1" applyAlignment="1">
      <alignment wrapText="1"/>
    </xf>
    <xf numFmtId="0" fontId="5" fillId="0" borderId="10" xfId="18" applyFont="1" applyBorder="1" applyAlignment="1">
      <alignment vertical="top" wrapText="1"/>
    </xf>
    <xf numFmtId="0" fontId="5" fillId="0" borderId="0" xfId="18" applyFont="1" applyAlignment="1">
      <alignment vertical="top" wrapText="1"/>
    </xf>
    <xf numFmtId="0" fontId="5" fillId="0" borderId="11" xfId="18" applyFont="1" applyBorder="1" applyAlignment="1">
      <alignment vertical="top" wrapText="1"/>
    </xf>
    <xf numFmtId="0" fontId="4" fillId="0" borderId="17" xfId="18" applyFont="1" applyBorder="1" applyAlignment="1">
      <alignment horizontal="left" vertical="center"/>
    </xf>
    <xf numFmtId="0" fontId="5" fillId="0" borderId="3" xfId="18" applyFont="1" applyBorder="1" applyAlignment="1">
      <alignment horizontal="left" vertical="center"/>
    </xf>
    <xf numFmtId="0" fontId="5" fillId="0" borderId="7" xfId="18" applyFont="1" applyBorder="1" applyAlignment="1">
      <alignment horizontal="left" vertical="center"/>
    </xf>
    <xf numFmtId="0" fontId="5" fillId="0" borderId="5" xfId="18" applyFont="1" applyBorder="1" applyAlignment="1">
      <alignment vertical="top" wrapText="1"/>
    </xf>
    <xf numFmtId="0" fontId="35" fillId="0" borderId="5" xfId="18" applyFont="1" applyBorder="1" applyAlignment="1">
      <alignment vertical="top" wrapText="1"/>
    </xf>
    <xf numFmtId="0" fontId="0" fillId="2" borderId="3"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4" fillId="0" borderId="0" xfId="18" applyFont="1" applyAlignment="1">
      <alignment horizontal="left" wrapText="1"/>
    </xf>
    <xf numFmtId="0" fontId="4" fillId="0" borderId="2" xfId="18" applyFont="1" applyBorder="1" applyAlignment="1">
      <alignment horizontal="left" wrapText="1"/>
    </xf>
    <xf numFmtId="0" fontId="35" fillId="0" borderId="17" xfId="18" applyFont="1" applyBorder="1" applyAlignment="1">
      <alignment vertical="top" wrapText="1"/>
    </xf>
    <xf numFmtId="0" fontId="35" fillId="0" borderId="3" xfId="18" applyFont="1" applyBorder="1" applyAlignment="1">
      <alignment vertical="top" wrapText="1"/>
    </xf>
    <xf numFmtId="0" fontId="35" fillId="0" borderId="7" xfId="18" applyFont="1" applyBorder="1" applyAlignment="1">
      <alignment vertical="top" wrapText="1"/>
    </xf>
    <xf numFmtId="0" fontId="7" fillId="0" borderId="3" xfId="18" applyFont="1" applyBorder="1" applyAlignment="1">
      <alignment vertical="top" wrapText="1"/>
    </xf>
    <xf numFmtId="0" fontId="7" fillId="0" borderId="7" xfId="18" applyFont="1" applyBorder="1" applyAlignment="1">
      <alignment vertical="top" wrapText="1"/>
    </xf>
    <xf numFmtId="0" fontId="34" fillId="0" borderId="5" xfId="0" applyFont="1" applyBorder="1" applyAlignment="1">
      <alignment horizontal="left" wrapText="1"/>
    </xf>
    <xf numFmtId="0" fontId="7" fillId="0" borderId="5" xfId="30" applyFont="1" applyBorder="1" applyAlignment="1">
      <alignment horizontal="left" vertical="top" wrapText="1"/>
    </xf>
    <xf numFmtId="0" fontId="7" fillId="0" borderId="14" xfId="18" applyFont="1" applyBorder="1" applyAlignment="1">
      <alignment vertical="top" wrapText="1"/>
    </xf>
    <xf numFmtId="0" fontId="34" fillId="0" borderId="15" xfId="30" applyFont="1" applyBorder="1" applyAlignment="1">
      <alignment wrapText="1"/>
    </xf>
    <xf numFmtId="0" fontId="34" fillId="0" borderId="7" xfId="30" applyFont="1" applyBorder="1" applyAlignment="1">
      <alignment wrapText="1"/>
    </xf>
    <xf numFmtId="0" fontId="4" fillId="0" borderId="10" xfId="0" applyFont="1" applyBorder="1" applyAlignment="1">
      <alignment horizontal="left" wrapText="1"/>
    </xf>
    <xf numFmtId="0" fontId="4" fillId="0" borderId="0" xfId="0" applyFont="1" applyAlignment="1">
      <alignment horizontal="left" wrapText="1"/>
    </xf>
    <xf numFmtId="0" fontId="4" fillId="0" borderId="11" xfId="0" applyFont="1" applyBorder="1" applyAlignment="1">
      <alignment horizontal="left" wrapText="1"/>
    </xf>
    <xf numFmtId="0" fontId="0" fillId="2" borderId="3" xfId="0" applyFill="1" applyBorder="1" applyAlignment="1">
      <alignment horizontal="left" wrapText="1"/>
    </xf>
    <xf numFmtId="0" fontId="0" fillId="2" borderId="7" xfId="0" applyFill="1" applyBorder="1" applyAlignment="1">
      <alignment horizontal="left" wrapText="1"/>
    </xf>
    <xf numFmtId="0" fontId="5" fillId="0" borderId="14" xfId="18" applyFont="1" applyBorder="1" applyAlignment="1">
      <alignment vertical="top" wrapText="1"/>
    </xf>
    <xf numFmtId="0" fontId="7" fillId="0" borderId="6" xfId="30" applyFont="1" applyBorder="1" applyAlignment="1">
      <alignment horizontal="left" vertical="top" wrapText="1"/>
    </xf>
    <xf numFmtId="0" fontId="4" fillId="0" borderId="0" xfId="18" applyFont="1" applyAlignment="1">
      <alignment wrapText="1"/>
    </xf>
    <xf numFmtId="0" fontId="34" fillId="0" borderId="3" xfId="0" applyFont="1" applyBorder="1"/>
    <xf numFmtId="0" fontId="34" fillId="0" borderId="7" xfId="0" applyFont="1" applyBorder="1"/>
    <xf numFmtId="0" fontId="7" fillId="0" borderId="17" xfId="18" applyFont="1" applyBorder="1" applyAlignment="1">
      <alignment vertical="top" wrapText="1"/>
    </xf>
    <xf numFmtId="0" fontId="4" fillId="0" borderId="0" xfId="18" applyFont="1" applyAlignment="1">
      <alignment horizontal="left" vertical="center" wrapText="1"/>
    </xf>
    <xf numFmtId="0" fontId="4" fillId="0" borderId="2" xfId="18" applyFont="1" applyBorder="1" applyAlignment="1">
      <alignment vertical="top" wrapText="1"/>
    </xf>
    <xf numFmtId="0" fontId="0" fillId="0" borderId="2" xfId="0" applyBorder="1" applyAlignment="1">
      <alignment vertical="top" wrapText="1"/>
    </xf>
    <xf numFmtId="0" fontId="7" fillId="0" borderId="0" xfId="18" applyFont="1" applyAlignment="1">
      <alignment vertical="top" wrapText="1"/>
    </xf>
    <xf numFmtId="0" fontId="7" fillId="0" borderId="11" xfId="18" applyFont="1" applyBorder="1" applyAlignment="1">
      <alignment vertical="top" wrapText="1"/>
    </xf>
    <xf numFmtId="0" fontId="7" fillId="0" borderId="3" xfId="18" applyFont="1" applyBorder="1"/>
    <xf numFmtId="0" fontId="7" fillId="0" borderId="7" xfId="18" applyFont="1" applyBorder="1"/>
    <xf numFmtId="0" fontId="7" fillId="2" borderId="17" xfId="18" applyFont="1" applyFill="1" applyBorder="1" applyAlignment="1" applyProtection="1">
      <alignment horizontal="left" vertical="top" wrapText="1"/>
      <protection locked="0"/>
    </xf>
    <xf numFmtId="0" fontId="7" fillId="2" borderId="7" xfId="18" applyFont="1" applyFill="1" applyBorder="1" applyAlignment="1" applyProtection="1">
      <alignment horizontal="left" vertical="top" wrapText="1"/>
      <protection locked="0"/>
    </xf>
    <xf numFmtId="0" fontId="7" fillId="0" borderId="3" xfId="0" applyFont="1" applyBorder="1" applyAlignment="1">
      <alignment vertical="top" wrapText="1"/>
    </xf>
    <xf numFmtId="0" fontId="7" fillId="0" borderId="7" xfId="0" applyFont="1" applyBorder="1" applyAlignment="1">
      <alignment vertical="top" wrapText="1"/>
    </xf>
    <xf numFmtId="42" fontId="5" fillId="2" borderId="5" xfId="18" applyNumberFormat="1" applyFont="1" applyFill="1" applyBorder="1" applyAlignment="1" applyProtection="1">
      <alignment horizontal="left" vertical="top" wrapText="1"/>
      <protection locked="0"/>
    </xf>
    <xf numFmtId="42" fontId="7" fillId="2" borderId="5" xfId="18" applyNumberFormat="1" applyFont="1" applyFill="1" applyBorder="1" applyAlignment="1" applyProtection="1">
      <alignment horizontal="left" vertical="top" wrapText="1"/>
      <protection locked="0"/>
    </xf>
    <xf numFmtId="0" fontId="5" fillId="2" borderId="5" xfId="18" applyFont="1" applyFill="1" applyBorder="1" applyAlignment="1" applyProtection="1">
      <alignment horizontal="left" vertical="top" wrapText="1"/>
      <protection locked="0"/>
    </xf>
    <xf numFmtId="0" fontId="7" fillId="2" borderId="5" xfId="18" applyFont="1" applyFill="1" applyBorder="1" applyAlignment="1" applyProtection="1">
      <alignment horizontal="left" vertical="top" wrapText="1"/>
      <protection locked="0"/>
    </xf>
    <xf numFmtId="42" fontId="7" fillId="2" borderId="17" xfId="18" applyNumberFormat="1" applyFont="1" applyFill="1" applyBorder="1" applyAlignment="1" applyProtection="1">
      <alignment horizontal="left" vertical="top" wrapText="1"/>
      <protection locked="0"/>
    </xf>
    <xf numFmtId="42" fontId="7" fillId="2" borderId="7" xfId="18" applyNumberFormat="1" applyFont="1" applyFill="1" applyBorder="1" applyAlignment="1" applyProtection="1">
      <alignment horizontal="left" vertical="top" wrapText="1"/>
      <protection locked="0"/>
    </xf>
    <xf numFmtId="3" fontId="5" fillId="2" borderId="5" xfId="18" applyNumberFormat="1" applyFont="1" applyFill="1" applyBorder="1" applyAlignment="1" applyProtection="1">
      <alignment horizontal="left" vertical="top" wrapText="1"/>
      <protection locked="0"/>
    </xf>
    <xf numFmtId="0" fontId="5" fillId="0" borderId="12" xfId="18" applyFont="1" applyBorder="1" applyAlignment="1">
      <alignment vertical="top" wrapText="1"/>
    </xf>
    <xf numFmtId="0" fontId="34" fillId="0" borderId="2" xfId="29" applyFont="1" applyBorder="1" applyAlignment="1">
      <alignment wrapText="1"/>
    </xf>
    <xf numFmtId="0" fontId="34" fillId="0" borderId="13" xfId="29" applyFont="1" applyBorder="1" applyAlignment="1">
      <alignment wrapText="1"/>
    </xf>
    <xf numFmtId="0" fontId="5" fillId="2" borderId="14" xfId="18" applyFont="1" applyFill="1" applyBorder="1" applyAlignment="1">
      <alignment horizontal="left" wrapText="1"/>
    </xf>
    <xf numFmtId="0" fontId="5" fillId="2" borderId="15" xfId="18" applyFont="1" applyFill="1" applyBorder="1" applyAlignment="1">
      <alignment horizontal="left" wrapText="1"/>
    </xf>
    <xf numFmtId="0" fontId="5" fillId="2" borderId="16" xfId="18" applyFont="1" applyFill="1" applyBorder="1" applyAlignment="1">
      <alignment horizontal="left" wrapText="1"/>
    </xf>
    <xf numFmtId="0" fontId="5" fillId="0" borderId="14" xfId="18" applyFont="1" applyBorder="1" applyAlignment="1">
      <alignment horizontal="left" vertical="top" wrapText="1"/>
    </xf>
    <xf numFmtId="0" fontId="4" fillId="0" borderId="15" xfId="18" applyFont="1" applyBorder="1" applyAlignment="1">
      <alignment horizontal="left" vertical="top" wrapText="1"/>
    </xf>
    <xf numFmtId="0" fontId="4" fillId="0" borderId="16" xfId="18" applyFont="1" applyBorder="1" applyAlignment="1">
      <alignment horizontal="left" vertical="top" wrapText="1"/>
    </xf>
    <xf numFmtId="0" fontId="34" fillId="0" borderId="0" xfId="29" applyFont="1" applyAlignment="1">
      <alignment wrapText="1"/>
    </xf>
    <xf numFmtId="0" fontId="34" fillId="0" borderId="11" xfId="29" applyFont="1" applyBorder="1" applyAlignment="1">
      <alignment wrapText="1"/>
    </xf>
    <xf numFmtId="0" fontId="5" fillId="0" borderId="2" xfId="18" applyFont="1" applyBorder="1" applyAlignment="1">
      <alignment vertical="top" wrapText="1"/>
    </xf>
    <xf numFmtId="0" fontId="5" fillId="0" borderId="13" xfId="18" applyFont="1" applyBorder="1" applyAlignment="1">
      <alignment vertical="top" wrapText="1"/>
    </xf>
    <xf numFmtId="0" fontId="85" fillId="0" borderId="0" xfId="18" applyFont="1" applyAlignment="1">
      <alignment horizontal="left" wrapText="1"/>
    </xf>
    <xf numFmtId="0" fontId="88" fillId="0" borderId="14" xfId="18" applyFont="1" applyBorder="1" applyAlignment="1">
      <alignment vertical="top" wrapText="1"/>
    </xf>
    <xf numFmtId="0" fontId="88" fillId="0" borderId="15" xfId="29" applyFont="1" applyBorder="1" applyAlignment="1">
      <alignment wrapText="1"/>
    </xf>
    <xf numFmtId="0" fontId="88" fillId="0" borderId="16" xfId="29" applyFont="1" applyBorder="1" applyAlignment="1">
      <alignment wrapText="1"/>
    </xf>
    <xf numFmtId="0" fontId="88" fillId="0" borderId="5" xfId="18" applyFont="1" applyBorder="1" applyAlignment="1">
      <alignment vertical="top" wrapText="1"/>
    </xf>
    <xf numFmtId="0" fontId="88" fillId="0" borderId="5" xfId="29" applyFont="1" applyBorder="1" applyAlignment="1">
      <alignment wrapText="1"/>
    </xf>
    <xf numFmtId="0" fontId="5" fillId="2" borderId="17" xfId="18" applyFont="1" applyFill="1" applyBorder="1" applyAlignment="1" applyProtection="1">
      <alignment horizontal="left" vertical="top" wrapText="1"/>
      <protection locked="0"/>
    </xf>
    <xf numFmtId="0" fontId="7" fillId="2" borderId="3" xfId="18" applyFont="1" applyFill="1" applyBorder="1" applyAlignment="1" applyProtection="1">
      <alignment horizontal="left" vertical="top" wrapText="1"/>
      <protection locked="0"/>
    </xf>
    <xf numFmtId="0" fontId="88" fillId="2" borderId="17" xfId="18" applyFont="1" applyFill="1" applyBorder="1" applyAlignment="1">
      <alignment horizontal="left" wrapText="1"/>
    </xf>
    <xf numFmtId="0" fontId="90" fillId="2" borderId="3" xfId="0" applyFont="1" applyFill="1" applyBorder="1" applyAlignment="1">
      <alignment horizontal="left" wrapText="1"/>
    </xf>
    <xf numFmtId="0" fontId="90" fillId="2" borderId="7" xfId="0" applyFont="1" applyFill="1" applyBorder="1" applyAlignment="1">
      <alignment horizontal="left" wrapText="1"/>
    </xf>
    <xf numFmtId="0" fontId="88" fillId="2" borderId="17" xfId="18" applyFont="1" applyFill="1" applyBorder="1" applyAlignment="1" applyProtection="1">
      <alignment horizontal="left" wrapText="1"/>
      <protection locked="0"/>
    </xf>
    <xf numFmtId="0" fontId="90" fillId="2" borderId="3" xfId="0" applyFont="1" applyFill="1" applyBorder="1" applyAlignment="1" applyProtection="1">
      <alignment horizontal="left" wrapText="1"/>
      <protection locked="0"/>
    </xf>
    <xf numFmtId="0" fontId="90" fillId="2" borderId="7" xfId="0" applyFont="1" applyFill="1" applyBorder="1" applyAlignment="1" applyProtection="1">
      <alignment horizontal="left" wrapText="1"/>
      <protection locked="0"/>
    </xf>
    <xf numFmtId="0" fontId="10" fillId="0" borderId="17"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5" fillId="0" borderId="15" xfId="18" applyFont="1" applyBorder="1" applyAlignment="1">
      <alignment vertical="top" wrapText="1"/>
    </xf>
    <xf numFmtId="0" fontId="5" fillId="0" borderId="16" xfId="18" applyFont="1" applyBorder="1" applyAlignment="1">
      <alignment vertical="top" wrapText="1"/>
    </xf>
    <xf numFmtId="0" fontId="34" fillId="0" borderId="15" xfId="29" applyFont="1" applyBorder="1" applyAlignment="1">
      <alignment wrapText="1"/>
    </xf>
    <xf numFmtId="0" fontId="34" fillId="0" borderId="16" xfId="29" applyFont="1" applyBorder="1" applyAlignment="1">
      <alignment wrapText="1"/>
    </xf>
    <xf numFmtId="0" fontId="5" fillId="0" borderId="6" xfId="18" applyFont="1" applyBorder="1" applyAlignment="1">
      <alignment vertical="top" wrapText="1"/>
    </xf>
    <xf numFmtId="0" fontId="10" fillId="0" borderId="0" xfId="15" applyAlignment="1">
      <alignment wrapText="1"/>
    </xf>
    <xf numFmtId="0" fontId="23" fillId="0" borderId="0" xfId="15" applyFont="1" applyAlignment="1">
      <alignment wrapText="1"/>
    </xf>
    <xf numFmtId="0" fontId="10" fillId="2" borderId="17" xfId="15"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7" xfId="0" applyBorder="1" applyAlignment="1" applyProtection="1">
      <alignment vertical="top" wrapText="1"/>
      <protection locked="0"/>
    </xf>
    <xf numFmtId="0" fontId="23" fillId="0" borderId="0" xfId="28" applyFont="1" applyAlignment="1">
      <alignment wrapText="1"/>
    </xf>
    <xf numFmtId="0" fontId="10" fillId="0" borderId="0" xfId="15" applyAlignment="1">
      <alignment horizontal="left" wrapText="1"/>
    </xf>
    <xf numFmtId="0" fontId="10" fillId="0" borderId="17" xfId="16" applyBorder="1" applyAlignment="1">
      <alignment horizontal="center" wrapText="1"/>
    </xf>
    <xf numFmtId="0" fontId="10" fillId="0" borderId="3" xfId="16" applyBorder="1" applyAlignment="1">
      <alignment horizontal="center" wrapText="1"/>
    </xf>
    <xf numFmtId="0" fontId="10" fillId="0" borderId="7" xfId="16" applyBorder="1" applyAlignment="1">
      <alignment horizontal="center" wrapText="1"/>
    </xf>
    <xf numFmtId="0" fontId="5" fillId="2" borderId="17"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0" borderId="17" xfId="0" applyFont="1" applyBorder="1" applyAlignment="1">
      <alignment vertical="top" wrapText="1"/>
    </xf>
    <xf numFmtId="0" fontId="23" fillId="0" borderId="7" xfId="0" applyFont="1" applyBorder="1"/>
    <xf numFmtId="0" fontId="7" fillId="0" borderId="17" xfId="0" applyFont="1" applyBorder="1" applyAlignment="1">
      <alignment vertical="top" wrapText="1"/>
    </xf>
    <xf numFmtId="170" fontId="0" fillId="2" borderId="5" xfId="0" applyNumberFormat="1" applyFill="1" applyBorder="1" applyAlignment="1" applyProtection="1">
      <alignment wrapText="1"/>
      <protection locked="0"/>
    </xf>
    <xf numFmtId="0" fontId="23" fillId="2" borderId="7" xfId="0" applyFont="1" applyFill="1" applyBorder="1" applyAlignment="1" applyProtection="1">
      <alignment wrapText="1"/>
      <protection locked="0"/>
    </xf>
    <xf numFmtId="0" fontId="5" fillId="0" borderId="0" xfId="0" applyFont="1" applyAlignment="1">
      <alignment horizontal="left" wrapText="1" indent="1"/>
    </xf>
    <xf numFmtId="0" fontId="5" fillId="0" borderId="11" xfId="0" applyFont="1" applyBorder="1" applyAlignment="1">
      <alignment horizontal="left" wrapText="1" indent="1"/>
    </xf>
    <xf numFmtId="0" fontId="5" fillId="0" borderId="11" xfId="0" applyFont="1" applyBorder="1" applyAlignment="1">
      <alignment horizontal="left" wrapText="1"/>
    </xf>
    <xf numFmtId="0" fontId="5" fillId="0" borderId="0" xfId="18" applyFont="1" applyAlignment="1">
      <alignment horizontal="right" wrapText="1"/>
    </xf>
    <xf numFmtId="0" fontId="7" fillId="0" borderId="5" xfId="28" applyFont="1" applyBorder="1" applyAlignment="1">
      <alignment horizontal="left" vertical="top" wrapText="1"/>
    </xf>
    <xf numFmtId="0" fontId="7" fillId="2" borderId="5" xfId="28" applyFont="1" applyFill="1" applyBorder="1" applyAlignment="1" applyProtection="1">
      <alignment horizontal="left" vertical="top" wrapText="1"/>
      <protection locked="0"/>
    </xf>
    <xf numFmtId="0" fontId="5" fillId="0" borderId="0" xfId="18" applyFont="1" applyAlignment="1">
      <alignment horizontal="left" vertical="top" wrapText="1"/>
    </xf>
    <xf numFmtId="0" fontId="7" fillId="0" borderId="5" xfId="0" applyFont="1" applyBorder="1" applyAlignment="1">
      <alignment horizontal="left" vertical="top" wrapText="1"/>
    </xf>
    <xf numFmtId="0" fontId="23" fillId="0" borderId="5" xfId="0" applyFont="1" applyBorder="1" applyAlignment="1">
      <alignment horizontal="left" vertical="top"/>
    </xf>
    <xf numFmtId="0" fontId="5" fillId="0" borderId="17" xfId="0" applyFont="1" applyBorder="1" applyAlignment="1">
      <alignment horizontal="left" vertical="top" wrapText="1"/>
    </xf>
    <xf numFmtId="0" fontId="5" fillId="0" borderId="7" xfId="0" applyFont="1" applyBorder="1" applyAlignment="1">
      <alignment horizontal="left" vertical="top" wrapText="1"/>
    </xf>
    <xf numFmtId="0" fontId="10" fillId="0" borderId="7" xfId="0" applyFont="1" applyBorder="1"/>
    <xf numFmtId="0" fontId="7" fillId="0" borderId="0" xfId="18" applyFont="1" applyAlignment="1">
      <alignment horizontal="center" wrapText="1"/>
    </xf>
    <xf numFmtId="0" fontId="7" fillId="0" borderId="17" xfId="18" applyFont="1" applyBorder="1" applyAlignment="1">
      <alignment horizontal="center" wrapText="1"/>
    </xf>
    <xf numFmtId="0" fontId="7" fillId="0" borderId="7" xfId="18" applyFont="1" applyBorder="1" applyAlignment="1">
      <alignment horizontal="center" wrapText="1"/>
    </xf>
    <xf numFmtId="0" fontId="5" fillId="0" borderId="14" xfId="0" applyFont="1" applyBorder="1" applyAlignment="1">
      <alignment vertical="top" wrapText="1"/>
    </xf>
    <xf numFmtId="0" fontId="10" fillId="0" borderId="16" xfId="0" applyFont="1" applyBorder="1"/>
    <xf numFmtId="0" fontId="5" fillId="2" borderId="12" xfId="0" applyFont="1" applyFill="1" applyBorder="1" applyAlignment="1" applyProtection="1">
      <alignment vertical="top" wrapText="1"/>
      <protection locked="0"/>
    </xf>
    <xf numFmtId="0" fontId="23" fillId="2" borderId="13" xfId="0" applyFont="1" applyFill="1" applyBorder="1" applyAlignment="1" applyProtection="1">
      <alignment wrapText="1"/>
      <protection locked="0"/>
    </xf>
    <xf numFmtId="37" fontId="23" fillId="0" borderId="8" xfId="10" applyFont="1" applyBorder="1" applyAlignment="1">
      <alignment horizontal="center" wrapText="1"/>
    </xf>
    <xf numFmtId="0" fontId="0" fillId="0" borderId="21" xfId="0" applyBorder="1"/>
    <xf numFmtId="0" fontId="0" fillId="0" borderId="6" xfId="0" applyBorder="1"/>
    <xf numFmtId="37" fontId="23" fillId="0" borderId="5" xfId="10" applyFont="1" applyBorder="1" applyAlignment="1">
      <alignment horizontal="center" wrapText="1"/>
    </xf>
    <xf numFmtId="0" fontId="25" fillId="0" borderId="0" xfId="28" applyFont="1" applyAlignment="1">
      <alignment wrapText="1"/>
    </xf>
    <xf numFmtId="0" fontId="10" fillId="0" borderId="0" xfId="20" applyAlignment="1">
      <alignment wrapText="1"/>
    </xf>
    <xf numFmtId="0" fontId="23" fillId="0" borderId="5" xfId="17" applyFont="1" applyBorder="1" applyAlignment="1">
      <alignment horizontal="left" vertical="top" wrapText="1"/>
    </xf>
    <xf numFmtId="0" fontId="10" fillId="0" borderId="5" xfId="20" applyBorder="1" applyAlignment="1">
      <alignment wrapText="1"/>
    </xf>
    <xf numFmtId="37" fontId="46" fillId="3" borderId="0" xfId="10" applyFont="1" applyFill="1" applyAlignment="1">
      <alignment wrapText="1"/>
    </xf>
    <xf numFmtId="0" fontId="45" fillId="3" borderId="0" xfId="20" applyFont="1" applyFill="1" applyAlignment="1">
      <alignment wrapText="1"/>
    </xf>
    <xf numFmtId="37" fontId="25" fillId="0" borderId="0" xfId="10" applyFont="1" applyAlignment="1">
      <alignment wrapText="1"/>
    </xf>
    <xf numFmtId="37" fontId="23" fillId="0" borderId="17" xfId="10" applyFont="1" applyBorder="1" applyAlignment="1">
      <alignment wrapText="1"/>
    </xf>
    <xf numFmtId="37" fontId="23" fillId="0" borderId="5" xfId="10" applyFont="1" applyBorder="1" applyAlignment="1">
      <alignment wrapText="1"/>
    </xf>
    <xf numFmtId="170" fontId="23" fillId="2" borderId="5" xfId="17" applyNumberFormat="1" applyFont="1" applyFill="1" applyBorder="1" applyAlignment="1" applyProtection="1">
      <alignment horizontal="left" vertical="top" wrapText="1"/>
      <protection locked="0"/>
    </xf>
    <xf numFmtId="170" fontId="10" fillId="0" borderId="5" xfId="20" applyNumberFormat="1" applyBorder="1" applyAlignment="1" applyProtection="1">
      <alignment wrapText="1"/>
      <protection locked="0"/>
    </xf>
    <xf numFmtId="0" fontId="7" fillId="0" borderId="0" xfId="20" applyFont="1" applyAlignment="1">
      <alignment wrapText="1"/>
    </xf>
    <xf numFmtId="0" fontId="23" fillId="2" borderId="5" xfId="17" applyFont="1" applyFill="1" applyBorder="1" applyAlignment="1" applyProtection="1">
      <alignment horizontal="left" vertical="top" wrapText="1"/>
      <protection locked="0"/>
    </xf>
    <xf numFmtId="0" fontId="10" fillId="0" borderId="5" xfId="20" applyBorder="1" applyAlignment="1" applyProtection="1">
      <alignment wrapText="1"/>
      <protection locked="0"/>
    </xf>
    <xf numFmtId="172" fontId="23" fillId="2" borderId="5" xfId="17" applyNumberFormat="1" applyFont="1" applyFill="1" applyBorder="1" applyAlignment="1" applyProtection="1">
      <alignment horizontal="left" vertical="top" wrapText="1"/>
      <protection locked="0"/>
    </xf>
    <xf numFmtId="172" fontId="10" fillId="0" borderId="5" xfId="20" applyNumberFormat="1" applyBorder="1" applyAlignment="1" applyProtection="1">
      <alignment wrapText="1"/>
      <protection locked="0"/>
    </xf>
    <xf numFmtId="0" fontId="10" fillId="0" borderId="2" xfId="28" applyFont="1" applyBorder="1" applyAlignment="1">
      <alignment horizontal="left"/>
    </xf>
    <xf numFmtId="0" fontId="23" fillId="0" borderId="2" xfId="28" applyFont="1" applyBorder="1" applyAlignment="1">
      <alignment horizontal="left"/>
    </xf>
    <xf numFmtId="0" fontId="10" fillId="0" borderId="0" xfId="28" applyFont="1" applyAlignment="1">
      <alignment horizontal="left"/>
    </xf>
    <xf numFmtId="0" fontId="23" fillId="0" borderId="0" xfId="28" applyFont="1" applyAlignment="1">
      <alignment horizontal="left"/>
    </xf>
    <xf numFmtId="37" fontId="10" fillId="2" borderId="17" xfId="10" applyFont="1" applyFill="1" applyBorder="1" applyAlignment="1" applyProtection="1">
      <alignment wrapText="1"/>
      <protection locked="0"/>
    </xf>
    <xf numFmtId="37" fontId="10" fillId="2" borderId="7" xfId="10" applyFont="1" applyFill="1" applyBorder="1" applyAlignment="1" applyProtection="1">
      <alignment wrapText="1"/>
      <protection locked="0"/>
    </xf>
    <xf numFmtId="37" fontId="10" fillId="0" borderId="5" xfId="10" applyFont="1" applyBorder="1" applyAlignment="1">
      <alignment wrapText="1"/>
    </xf>
    <xf numFmtId="37" fontId="10" fillId="0" borderId="17" xfId="10" applyFont="1" applyBorder="1" applyAlignment="1">
      <alignment wrapText="1"/>
    </xf>
    <xf numFmtId="0" fontId="10" fillId="0" borderId="0" xfId="27" applyAlignment="1">
      <alignment wrapText="1"/>
    </xf>
    <xf numFmtId="0" fontId="10" fillId="0" borderId="5" xfId="27" applyBorder="1" applyAlignment="1">
      <alignment wrapText="1"/>
    </xf>
    <xf numFmtId="0" fontId="10" fillId="2" borderId="5" xfId="27" applyFill="1" applyBorder="1" applyAlignment="1" applyProtection="1">
      <alignment wrapText="1"/>
      <protection locked="0"/>
    </xf>
    <xf numFmtId="172" fontId="10" fillId="2" borderId="5" xfId="27" applyNumberFormat="1" applyFill="1" applyBorder="1" applyAlignment="1" applyProtection="1">
      <alignment wrapText="1"/>
      <protection locked="0"/>
    </xf>
    <xf numFmtId="170" fontId="10" fillId="2" borderId="5" xfId="27" applyNumberFormat="1" applyFill="1" applyBorder="1" applyAlignment="1" applyProtection="1">
      <alignment wrapText="1"/>
      <protection locked="0"/>
    </xf>
    <xf numFmtId="0" fontId="5" fillId="0" borderId="0" xfId="28" applyFont="1" applyAlignment="1">
      <alignment vertical="center" wrapText="1"/>
    </xf>
    <xf numFmtId="0" fontId="10" fillId="0" borderId="0" xfId="27" applyAlignment="1">
      <alignment vertical="center" wrapText="1"/>
    </xf>
    <xf numFmtId="0" fontId="5" fillId="0" borderId="17" xfId="28" applyFont="1" applyBorder="1" applyAlignment="1">
      <alignment horizontal="left" vertical="top" wrapText="1"/>
    </xf>
    <xf numFmtId="0" fontId="15" fillId="0" borderId="3" xfId="28" applyFont="1" applyBorder="1" applyAlignment="1">
      <alignment horizontal="left" vertical="top" wrapText="1"/>
    </xf>
    <xf numFmtId="0" fontId="15" fillId="0" borderId="7" xfId="28" applyFont="1" applyBorder="1" applyAlignment="1">
      <alignment horizontal="left" vertical="top" wrapText="1"/>
    </xf>
    <xf numFmtId="37" fontId="10" fillId="0" borderId="3" xfId="10" applyFont="1" applyBorder="1" applyAlignment="1">
      <alignment wrapText="1"/>
    </xf>
    <xf numFmtId="37" fontId="10" fillId="0" borderId="7" xfId="10" applyFont="1" applyBorder="1" applyAlignment="1">
      <alignment wrapText="1"/>
    </xf>
    <xf numFmtId="0" fontId="10" fillId="0" borderId="5" xfId="19" applyBorder="1" applyAlignment="1">
      <alignment wrapText="1"/>
    </xf>
    <xf numFmtId="0" fontId="7" fillId="0" borderId="0" xfId="19" applyFont="1" applyAlignment="1">
      <alignment wrapText="1"/>
    </xf>
    <xf numFmtId="0" fontId="10" fillId="0" borderId="0" xfId="19" applyAlignment="1">
      <alignment wrapText="1"/>
    </xf>
    <xf numFmtId="170" fontId="10" fillId="0" borderId="5" xfId="19" applyNumberFormat="1" applyBorder="1" applyAlignment="1" applyProtection="1">
      <alignment wrapText="1"/>
      <protection locked="0"/>
    </xf>
    <xf numFmtId="0" fontId="10" fillId="0" borderId="5" xfId="19" applyBorder="1" applyAlignment="1" applyProtection="1">
      <alignment wrapText="1"/>
      <protection locked="0"/>
    </xf>
    <xf numFmtId="172" fontId="10" fillId="0" borderId="5" xfId="19" applyNumberFormat="1" applyBorder="1" applyAlignment="1" applyProtection="1">
      <alignment wrapText="1"/>
      <protection locked="0"/>
    </xf>
    <xf numFmtId="0" fontId="10" fillId="0" borderId="0" xfId="23" applyAlignment="1">
      <alignment horizontal="center" wrapText="1"/>
    </xf>
    <xf numFmtId="0" fontId="10" fillId="0" borderId="17" xfId="23" applyBorder="1" applyAlignment="1">
      <alignment horizontal="left" wrapText="1"/>
    </xf>
    <xf numFmtId="0" fontId="0" fillId="0" borderId="3" xfId="0" applyBorder="1" applyAlignment="1">
      <alignment horizontal="left" wrapText="1"/>
    </xf>
    <xf numFmtId="0" fontId="0" fillId="0" borderId="7" xfId="0" applyBorder="1" applyAlignment="1">
      <alignment horizontal="left" wrapText="1"/>
    </xf>
    <xf numFmtId="0" fontId="10" fillId="0" borderId="17" xfId="23" applyBorder="1" applyAlignment="1">
      <alignment wrapText="1"/>
    </xf>
    <xf numFmtId="0" fontId="10" fillId="2" borderId="17" xfId="23" applyFill="1" applyBorder="1" applyAlignment="1" applyProtection="1">
      <alignment horizontal="left" wrapText="1"/>
      <protection locked="0"/>
    </xf>
    <xf numFmtId="0" fontId="10" fillId="2" borderId="3" xfId="23" applyFill="1" applyBorder="1" applyAlignment="1" applyProtection="1">
      <alignment horizontal="left" wrapText="1"/>
      <protection locked="0"/>
    </xf>
    <xf numFmtId="0" fontId="10" fillId="2" borderId="7" xfId="23" applyFill="1" applyBorder="1" applyAlignment="1" applyProtection="1">
      <alignment horizontal="left" wrapText="1"/>
      <protection locked="0"/>
    </xf>
    <xf numFmtId="0" fontId="10" fillId="0" borderId="0" xfId="23" applyAlignment="1">
      <alignment horizontal="center"/>
    </xf>
    <xf numFmtId="0" fontId="10" fillId="0" borderId="5" xfId="23" applyBorder="1" applyAlignment="1">
      <alignment horizontal="left" wrapText="1"/>
    </xf>
    <xf numFmtId="0" fontId="10" fillId="0" borderId="3" xfId="23" applyBorder="1" applyAlignment="1">
      <alignment horizontal="left" wrapText="1"/>
    </xf>
    <xf numFmtId="0" fontId="10" fillId="0" borderId="7" xfId="23" applyBorder="1" applyAlignment="1">
      <alignment horizontal="left" wrapText="1"/>
    </xf>
    <xf numFmtId="0" fontId="10" fillId="0" borderId="0" xfId="23" applyAlignment="1">
      <alignment horizontal="left" wrapText="1"/>
    </xf>
    <xf numFmtId="0" fontId="25" fillId="0" borderId="0" xfId="23" applyFont="1" applyAlignment="1">
      <alignment horizontal="left" wrapText="1"/>
    </xf>
    <xf numFmtId="0" fontId="10" fillId="6" borderId="5" xfId="23" applyFill="1" applyBorder="1" applyAlignment="1" applyProtection="1">
      <alignment horizontal="left" vertical="top" wrapText="1"/>
      <protection locked="0"/>
    </xf>
    <xf numFmtId="37" fontId="23" fillId="0" borderId="0" xfId="10" applyFont="1" applyAlignment="1">
      <alignment horizontal="center" wrapText="1"/>
    </xf>
    <xf numFmtId="0" fontId="0" fillId="0" borderId="0" xfId="0" applyAlignment="1">
      <alignment horizontal="center" wrapText="1"/>
    </xf>
    <xf numFmtId="0" fontId="10" fillId="2" borderId="5" xfId="23" applyFill="1" applyBorder="1" applyAlignment="1" applyProtection="1">
      <alignment horizontal="left" wrapText="1"/>
      <protection locked="0"/>
    </xf>
    <xf numFmtId="0" fontId="10" fillId="0" borderId="0" xfId="23" applyAlignment="1">
      <alignment wrapText="1"/>
    </xf>
    <xf numFmtId="0" fontId="23" fillId="0" borderId="0" xfId="17" applyFont="1" applyAlignment="1">
      <alignment wrapText="1"/>
    </xf>
    <xf numFmtId="172" fontId="10" fillId="2" borderId="5" xfId="23" applyNumberFormat="1" applyFill="1" applyBorder="1" applyAlignment="1" applyProtection="1">
      <alignment horizontal="left" wrapText="1"/>
      <protection locked="0"/>
    </xf>
    <xf numFmtId="170" fontId="10" fillId="2" borderId="5" xfId="23" applyNumberFormat="1" applyFill="1" applyBorder="1" applyAlignment="1" applyProtection="1">
      <alignment horizontal="left" wrapText="1"/>
      <protection locked="0"/>
    </xf>
    <xf numFmtId="0" fontId="10" fillId="0" borderId="2" xfId="23" applyBorder="1" applyAlignment="1">
      <alignment horizontal="left" wrapText="1"/>
    </xf>
    <xf numFmtId="0" fontId="10" fillId="0" borderId="2" xfId="23" applyBorder="1" applyAlignment="1">
      <alignment horizontal="left"/>
    </xf>
    <xf numFmtId="0" fontId="10" fillId="2" borderId="5" xfId="23" applyFill="1" applyBorder="1" applyAlignment="1">
      <alignment horizontal="left" wrapText="1"/>
    </xf>
    <xf numFmtId="0" fontId="10" fillId="0" borderId="5" xfId="23" applyBorder="1" applyAlignment="1" applyProtection="1">
      <alignment horizontal="left" wrapText="1"/>
      <protection locked="0"/>
    </xf>
    <xf numFmtId="37" fontId="74" fillId="0" borderId="0" xfId="10" applyFont="1" applyAlignment="1">
      <alignment horizontal="center"/>
    </xf>
    <xf numFmtId="37" fontId="23" fillId="0" borderId="3" xfId="10" applyFont="1" applyBorder="1" applyAlignment="1">
      <alignment wrapText="1"/>
    </xf>
    <xf numFmtId="37" fontId="23" fillId="0" borderId="7" xfId="10" applyFont="1" applyBorder="1" applyAlignment="1">
      <alignment wrapText="1"/>
    </xf>
    <xf numFmtId="0" fontId="10" fillId="0" borderId="5" xfId="23" applyBorder="1" applyAlignment="1">
      <alignment wrapText="1"/>
    </xf>
    <xf numFmtId="37" fontId="10" fillId="0" borderId="17" xfId="10" applyFont="1" applyBorder="1" applyAlignment="1">
      <alignment horizontal="center" wrapText="1"/>
    </xf>
    <xf numFmtId="0" fontId="10" fillId="0" borderId="5" xfId="23" applyBorder="1" applyAlignment="1" applyProtection="1">
      <alignment wrapText="1"/>
      <protection locked="0"/>
    </xf>
    <xf numFmtId="172" fontId="10" fillId="0" borderId="5" xfId="23" applyNumberFormat="1" applyBorder="1" applyAlignment="1" applyProtection="1">
      <alignment wrapText="1"/>
      <protection locked="0"/>
    </xf>
    <xf numFmtId="170" fontId="10" fillId="0" borderId="5" xfId="23" applyNumberFormat="1" applyBorder="1" applyAlignment="1" applyProtection="1">
      <alignment wrapText="1"/>
      <protection locked="0"/>
    </xf>
    <xf numFmtId="0" fontId="7" fillId="0" borderId="0" xfId="23" applyFont="1" applyAlignment="1">
      <alignment wrapText="1"/>
    </xf>
    <xf numFmtId="37" fontId="10" fillId="0" borderId="7" xfId="10" applyFont="1" applyBorder="1" applyAlignment="1">
      <alignment horizontal="center" wrapText="1"/>
    </xf>
    <xf numFmtId="0" fontId="10" fillId="0" borderId="0" xfId="23" applyAlignment="1">
      <alignment horizontal="right" wrapText="1"/>
    </xf>
    <xf numFmtId="0" fontId="10" fillId="0" borderId="11" xfId="23" applyBorder="1" applyAlignment="1">
      <alignment horizontal="right" wrapText="1"/>
    </xf>
    <xf numFmtId="37" fontId="10" fillId="5" borderId="0" xfId="10" applyFont="1" applyFill="1" applyAlignment="1">
      <alignment horizontal="center" wrapText="1"/>
    </xf>
    <xf numFmtId="37" fontId="10" fillId="0" borderId="0" xfId="10" applyFont="1" applyAlignment="1">
      <alignment horizontal="right" wrapText="1"/>
    </xf>
    <xf numFmtId="37" fontId="10" fillId="0" borderId="11" xfId="10" applyFont="1" applyBorder="1" applyAlignment="1">
      <alignment horizontal="right" wrapText="1"/>
    </xf>
    <xf numFmtId="0" fontId="10" fillId="0" borderId="2" xfId="16" applyBorder="1" applyAlignment="1">
      <alignment horizontal="left" vertical="top" wrapText="1"/>
    </xf>
    <xf numFmtId="0" fontId="10" fillId="0" borderId="5" xfId="22" applyBorder="1" applyAlignment="1">
      <alignment wrapText="1"/>
    </xf>
    <xf numFmtId="0" fontId="10" fillId="0" borderId="0" xfId="22" applyAlignment="1">
      <alignment vertical="center" wrapText="1"/>
    </xf>
    <xf numFmtId="0" fontId="10" fillId="0" borderId="5" xfId="22" applyBorder="1" applyAlignment="1" applyProtection="1">
      <alignment wrapText="1"/>
      <protection locked="0"/>
    </xf>
    <xf numFmtId="172" fontId="10" fillId="0" borderId="5" xfId="22" applyNumberFormat="1" applyBorder="1" applyAlignment="1" applyProtection="1">
      <alignment wrapText="1"/>
      <protection locked="0"/>
    </xf>
    <xf numFmtId="170" fontId="10" fillId="0" borderId="5" xfId="22" applyNumberFormat="1" applyBorder="1" applyAlignment="1" applyProtection="1">
      <alignment wrapText="1"/>
      <protection locked="0"/>
    </xf>
    <xf numFmtId="0" fontId="53" fillId="0" borderId="2" xfId="28" applyFont="1" applyBorder="1" applyAlignment="1">
      <alignment horizontal="left" wrapText="1"/>
    </xf>
    <xf numFmtId="37" fontId="10" fillId="0" borderId="0" xfId="10" applyFont="1" applyAlignment="1">
      <alignment wrapText="1"/>
    </xf>
    <xf numFmtId="0" fontId="7" fillId="0" borderId="0" xfId="22" applyFont="1" applyAlignment="1">
      <alignment wrapText="1"/>
    </xf>
    <xf numFmtId="37" fontId="10" fillId="2" borderId="5" xfId="10" applyFont="1" applyFill="1" applyBorder="1" applyAlignment="1" applyProtection="1">
      <alignment vertical="top" wrapText="1"/>
      <protection locked="0"/>
    </xf>
    <xf numFmtId="37" fontId="23" fillId="2" borderId="5" xfId="10" applyFont="1" applyFill="1" applyBorder="1" applyAlignment="1" applyProtection="1">
      <alignment vertical="top" wrapText="1"/>
      <protection locked="0"/>
    </xf>
    <xf numFmtId="0" fontId="10" fillId="2" borderId="5" xfId="10" applyNumberFormat="1" applyFont="1" applyFill="1" applyBorder="1" applyAlignment="1">
      <alignment horizontal="left" vertical="top" wrapText="1"/>
    </xf>
    <xf numFmtId="0" fontId="23" fillId="2" borderId="5" xfId="10" applyNumberFormat="1" applyFont="1" applyFill="1" applyBorder="1" applyAlignment="1">
      <alignment horizontal="left" vertical="top" wrapText="1"/>
    </xf>
    <xf numFmtId="0" fontId="7" fillId="0" borderId="0" xfId="24" applyFont="1" applyAlignment="1">
      <alignment wrapText="1"/>
    </xf>
    <xf numFmtId="0" fontId="10" fillId="0" borderId="0" xfId="24" applyAlignment="1">
      <alignment wrapText="1"/>
    </xf>
    <xf numFmtId="0" fontId="10" fillId="0" borderId="0" xfId="28" applyFont="1" applyAlignment="1">
      <alignment wrapText="1"/>
    </xf>
    <xf numFmtId="37" fontId="23" fillId="2" borderId="3" xfId="10" applyFont="1" applyFill="1" applyBorder="1" applyAlignment="1" applyProtection="1">
      <alignment wrapText="1"/>
      <protection locked="0"/>
    </xf>
    <xf numFmtId="37" fontId="23" fillId="2" borderId="7" xfId="10" applyFont="1" applyFill="1" applyBorder="1" applyAlignment="1" applyProtection="1">
      <alignment wrapText="1"/>
      <protection locked="0"/>
    </xf>
    <xf numFmtId="37" fontId="57" fillId="0" borderId="0" xfId="10" applyFont="1" applyAlignment="1">
      <alignment horizontal="right" wrapText="1"/>
    </xf>
    <xf numFmtId="0" fontId="0" fillId="0" borderId="0" xfId="0" applyAlignment="1">
      <alignment horizontal="right"/>
    </xf>
    <xf numFmtId="37" fontId="10" fillId="0" borderId="3" xfId="10" applyFont="1" applyBorder="1" applyAlignment="1">
      <alignment horizontal="left" vertical="center" wrapText="1"/>
    </xf>
    <xf numFmtId="37" fontId="10" fillId="2" borderId="17" xfId="10" applyFont="1" applyFill="1" applyBorder="1" applyAlignment="1">
      <alignment wrapText="1"/>
    </xf>
    <xf numFmtId="37" fontId="23" fillId="2" borderId="3" xfId="10" applyFont="1" applyFill="1" applyBorder="1" applyAlignment="1">
      <alignment wrapText="1"/>
    </xf>
    <xf numFmtId="37" fontId="23" fillId="2" borderId="7" xfId="10" applyFont="1" applyFill="1" applyBorder="1" applyAlignment="1">
      <alignment wrapText="1"/>
    </xf>
    <xf numFmtId="0" fontId="10" fillId="0" borderId="5" xfId="24" applyBorder="1" applyAlignment="1">
      <alignment wrapText="1"/>
    </xf>
    <xf numFmtId="37" fontId="57" fillId="0" borderId="0" xfId="10" applyFont="1" applyAlignment="1">
      <alignment horizontal="left" wrapText="1"/>
    </xf>
    <xf numFmtId="37" fontId="10" fillId="0" borderId="0" xfId="10" applyFont="1" applyAlignment="1">
      <alignment horizontal="left" wrapText="1"/>
    </xf>
    <xf numFmtId="37" fontId="57" fillId="0" borderId="0" xfId="10" applyFont="1" applyAlignment="1">
      <alignment horizontal="center" vertical="center" wrapText="1"/>
    </xf>
    <xf numFmtId="37" fontId="10" fillId="0" borderId="5" xfId="10" applyFont="1" applyBorder="1" applyAlignment="1">
      <alignment vertical="top" wrapText="1"/>
    </xf>
    <xf numFmtId="37" fontId="23" fillId="0" borderId="5" xfId="10" applyFont="1" applyBorder="1" applyAlignment="1">
      <alignment vertical="top" wrapText="1"/>
    </xf>
    <xf numFmtId="0" fontId="10" fillId="0" borderId="5" xfId="24" applyBorder="1" applyAlignment="1" applyProtection="1">
      <alignment wrapText="1"/>
      <protection locked="0"/>
    </xf>
    <xf numFmtId="172" fontId="10" fillId="0" borderId="5" xfId="24" applyNumberFormat="1" applyBorder="1" applyAlignment="1" applyProtection="1">
      <alignment wrapText="1"/>
      <protection locked="0"/>
    </xf>
    <xf numFmtId="170" fontId="10" fillId="0" borderId="5" xfId="24" applyNumberFormat="1" applyBorder="1" applyAlignment="1" applyProtection="1">
      <alignment wrapText="1"/>
      <protection locked="0"/>
    </xf>
    <xf numFmtId="0" fontId="10" fillId="2" borderId="5" xfId="31" applyFill="1" applyBorder="1" applyAlignment="1" applyProtection="1">
      <alignment wrapText="1"/>
      <protection locked="0"/>
    </xf>
    <xf numFmtId="0" fontId="10" fillId="0" borderId="17" xfId="31" applyBorder="1" applyAlignment="1">
      <alignment wrapText="1"/>
    </xf>
    <xf numFmtId="0" fontId="10" fillId="0" borderId="3" xfId="31" applyBorder="1" applyAlignment="1">
      <alignment wrapText="1"/>
    </xf>
    <xf numFmtId="0" fontId="10" fillId="0" borderId="7" xfId="31" applyBorder="1" applyAlignment="1">
      <alignment wrapText="1"/>
    </xf>
    <xf numFmtId="0" fontId="10" fillId="0" borderId="0" xfId="31" applyAlignment="1">
      <alignment horizontal="center" wrapText="1"/>
    </xf>
    <xf numFmtId="0" fontId="10" fillId="0" borderId="2" xfId="23" applyBorder="1" applyAlignment="1">
      <alignment horizontal="center" wrapText="1"/>
    </xf>
    <xf numFmtId="0" fontId="10" fillId="0" borderId="5" xfId="31" applyBorder="1" applyAlignment="1">
      <alignment wrapText="1"/>
    </xf>
    <xf numFmtId="172" fontId="10" fillId="2" borderId="5" xfId="31" applyNumberFormat="1" applyFill="1" applyBorder="1" applyAlignment="1" applyProtection="1">
      <alignment wrapText="1"/>
      <protection locked="0"/>
    </xf>
    <xf numFmtId="170" fontId="10" fillId="2" borderId="5" xfId="31" applyNumberFormat="1" applyFill="1" applyBorder="1" applyAlignment="1" applyProtection="1">
      <alignment wrapText="1"/>
      <protection locked="0"/>
    </xf>
    <xf numFmtId="0" fontId="10" fillId="0" borderId="0" xfId="31" applyAlignment="1">
      <alignment wrapText="1"/>
    </xf>
    <xf numFmtId="0" fontId="5" fillId="0" borderId="5" xfId="18" applyFont="1" applyBorder="1" applyAlignment="1">
      <alignment wrapText="1"/>
    </xf>
    <xf numFmtId="0" fontId="23" fillId="2" borderId="7" xfId="0" applyFont="1" applyFill="1" applyBorder="1" applyProtection="1">
      <protection locked="0"/>
    </xf>
    <xf numFmtId="0" fontId="7" fillId="0" borderId="5" xfId="0" applyFont="1" applyBorder="1" applyAlignment="1">
      <alignment vertical="top" wrapText="1"/>
    </xf>
    <xf numFmtId="0" fontId="23" fillId="0" borderId="5" xfId="0" applyFont="1" applyBorder="1"/>
    <xf numFmtId="3" fontId="4" fillId="0" borderId="8" xfId="1" applyNumberFormat="1" applyFont="1" applyFill="1" applyBorder="1" applyAlignment="1" applyProtection="1">
      <alignment horizontal="center" wrapText="1"/>
    </xf>
    <xf numFmtId="0" fontId="0" fillId="0" borderId="6" xfId="0" applyBorder="1" applyAlignment="1">
      <alignment wrapText="1"/>
    </xf>
    <xf numFmtId="0" fontId="7" fillId="0" borderId="5" xfId="18" applyFont="1" applyBorder="1" applyAlignment="1">
      <alignment wrapText="1"/>
    </xf>
    <xf numFmtId="0" fontId="5" fillId="0" borderId="17" xfId="35" applyFont="1" applyBorder="1" applyAlignment="1">
      <alignment horizontal="left" vertical="top" wrapText="1"/>
    </xf>
    <xf numFmtId="0" fontId="5" fillId="0" borderId="7" xfId="35" applyFont="1" applyBorder="1" applyAlignment="1">
      <alignment horizontal="left" vertical="top" wrapText="1"/>
    </xf>
    <xf numFmtId="0" fontId="5" fillId="2" borderId="5" xfId="38" applyFont="1" applyFill="1" applyBorder="1" applyAlignment="1" applyProtection="1">
      <alignment horizontal="left" vertical="top" wrapText="1"/>
      <protection locked="0"/>
    </xf>
    <xf numFmtId="0" fontId="5" fillId="2" borderId="5" xfId="38" applyFont="1" applyFill="1" applyBorder="1" applyAlignment="1" applyProtection="1">
      <alignment wrapText="1"/>
      <protection locked="0"/>
    </xf>
    <xf numFmtId="0" fontId="5" fillId="0" borderId="0" xfId="8" applyFont="1" applyAlignment="1">
      <alignment horizontal="left" vertical="top" wrapText="1"/>
    </xf>
    <xf numFmtId="0" fontId="5" fillId="0" borderId="17" xfId="8" applyFont="1" applyBorder="1" applyAlignment="1">
      <alignment horizontal="left"/>
    </xf>
    <xf numFmtId="0" fontId="5" fillId="0" borderId="3" xfId="8" applyFont="1" applyBorder="1" applyAlignment="1">
      <alignment horizontal="left"/>
    </xf>
    <xf numFmtId="0" fontId="5" fillId="0" borderId="7" xfId="8" applyFont="1" applyBorder="1" applyAlignment="1">
      <alignment horizontal="left"/>
    </xf>
    <xf numFmtId="0" fontId="5" fillId="0" borderId="17" xfId="8" applyFont="1" applyBorder="1" applyAlignment="1">
      <alignment horizontal="left" wrapText="1"/>
    </xf>
    <xf numFmtId="0" fontId="5" fillId="0" borderId="3" xfId="8" applyFont="1" applyBorder="1" applyAlignment="1">
      <alignment horizontal="left" wrapText="1"/>
    </xf>
    <xf numFmtId="0" fontId="5" fillId="0" borderId="7" xfId="8" applyFont="1" applyBorder="1" applyAlignment="1">
      <alignment horizontal="left" wrapText="1"/>
    </xf>
    <xf numFmtId="0" fontId="4" fillId="0" borderId="0" xfId="28" applyFont="1" applyAlignment="1">
      <alignment horizontal="left" wrapText="1"/>
    </xf>
    <xf numFmtId="0" fontId="5" fillId="0" borderId="5" xfId="35" applyFont="1" applyBorder="1" applyAlignment="1">
      <alignment horizontal="left" vertical="top" wrapText="1"/>
    </xf>
    <xf numFmtId="0" fontId="4" fillId="0" borderId="5" xfId="35" applyFont="1" applyBorder="1" applyAlignment="1">
      <alignment horizontal="left" vertical="top" wrapText="1"/>
    </xf>
    <xf numFmtId="0" fontId="4" fillId="0" borderId="14" xfId="35" applyFont="1" applyBorder="1" applyAlignment="1">
      <alignment horizontal="left" vertical="top" wrapText="1"/>
    </xf>
    <xf numFmtId="0" fontId="4" fillId="0" borderId="15" xfId="35" applyFont="1" applyBorder="1" applyAlignment="1">
      <alignment horizontal="left" vertical="top" wrapText="1"/>
    </xf>
    <xf numFmtId="0" fontId="4" fillId="0" borderId="16" xfId="35" applyFont="1" applyBorder="1" applyAlignment="1">
      <alignment horizontal="left" vertical="top" wrapText="1"/>
    </xf>
    <xf numFmtId="0" fontId="5" fillId="0" borderId="10" xfId="35" applyFont="1" applyBorder="1" applyAlignment="1">
      <alignment horizontal="left" vertical="top" wrapText="1"/>
    </xf>
    <xf numFmtId="0" fontId="5" fillId="0" borderId="0" xfId="35" applyFont="1" applyAlignment="1">
      <alignment horizontal="left" vertical="top" wrapText="1"/>
    </xf>
    <xf numFmtId="0" fontId="5" fillId="0" borderId="11" xfId="35" applyFont="1" applyBorder="1" applyAlignment="1">
      <alignment horizontal="left" vertical="top" wrapText="1"/>
    </xf>
    <xf numFmtId="0" fontId="5" fillId="0" borderId="12" xfId="35" applyFont="1" applyBorder="1" applyAlignment="1">
      <alignment horizontal="left" vertical="top" wrapText="1"/>
    </xf>
    <xf numFmtId="0" fontId="5" fillId="0" borderId="2" xfId="35" applyFont="1" applyBorder="1" applyAlignment="1">
      <alignment horizontal="left" vertical="top" wrapText="1"/>
    </xf>
    <xf numFmtId="0" fontId="5" fillId="0" borderId="13" xfId="35" applyFont="1" applyBorder="1" applyAlignment="1">
      <alignment horizontal="left" vertical="top" wrapText="1"/>
    </xf>
    <xf numFmtId="0" fontId="4" fillId="0" borderId="17" xfId="35" applyFont="1" applyBorder="1" applyAlignment="1">
      <alignment horizontal="left" vertical="top" wrapText="1"/>
    </xf>
    <xf numFmtId="0" fontId="4" fillId="0" borderId="3" xfId="35" applyFont="1" applyBorder="1" applyAlignment="1">
      <alignment horizontal="left" vertical="top" wrapText="1"/>
    </xf>
    <xf numFmtId="0" fontId="4" fillId="0" borderId="7" xfId="35" applyFont="1" applyBorder="1" applyAlignment="1">
      <alignment horizontal="left" vertical="top" wrapText="1"/>
    </xf>
    <xf numFmtId="0" fontId="5" fillId="0" borderId="12" xfId="8" applyFont="1" applyBorder="1" applyAlignment="1">
      <alignment horizontal="left" vertical="top" wrapText="1"/>
    </xf>
    <xf numFmtId="0" fontId="5" fillId="0" borderId="2" xfId="35" applyFont="1" applyBorder="1" applyAlignment="1">
      <alignment vertical="top"/>
    </xf>
    <xf numFmtId="0" fontId="5" fillId="0" borderId="13" xfId="35" applyFont="1" applyBorder="1" applyAlignment="1">
      <alignment vertical="top"/>
    </xf>
    <xf numFmtId="0" fontId="5" fillId="0" borderId="0" xfId="8" applyFont="1" applyAlignment="1">
      <alignment horizontal="left" wrapText="1"/>
    </xf>
    <xf numFmtId="0" fontId="4" fillId="0" borderId="10" xfId="35" applyFont="1" applyBorder="1" applyAlignment="1">
      <alignment horizontal="left" vertical="top" wrapText="1"/>
    </xf>
    <xf numFmtId="0" fontId="4" fillId="0" borderId="0" xfId="35" applyFont="1" applyAlignment="1">
      <alignment horizontal="left" vertical="top" wrapText="1"/>
    </xf>
    <xf numFmtId="0" fontId="4" fillId="0" borderId="11" xfId="35" applyFont="1" applyBorder="1" applyAlignment="1">
      <alignment horizontal="left" vertical="top" wrapText="1"/>
    </xf>
    <xf numFmtId="0" fontId="4" fillId="0" borderId="12" xfId="35" applyFont="1" applyBorder="1" applyAlignment="1">
      <alignment horizontal="left" vertical="top" wrapText="1"/>
    </xf>
    <xf numFmtId="0" fontId="4" fillId="0" borderId="2" xfId="35" applyFont="1" applyBorder="1" applyAlignment="1">
      <alignment horizontal="left" vertical="top" wrapText="1"/>
    </xf>
    <xf numFmtId="0" fontId="4" fillId="0" borderId="13" xfId="35" applyFont="1" applyBorder="1" applyAlignment="1">
      <alignment horizontal="left" vertical="top" wrapText="1"/>
    </xf>
    <xf numFmtId="0" fontId="5" fillId="0" borderId="14" xfId="8" applyFont="1" applyBorder="1" applyAlignment="1">
      <alignment horizontal="left" vertical="top" wrapText="1"/>
    </xf>
    <xf numFmtId="0" fontId="5" fillId="0" borderId="15" xfId="35" applyFont="1" applyBorder="1" applyAlignment="1">
      <alignment vertical="top"/>
    </xf>
    <xf numFmtId="0" fontId="5" fillId="0" borderId="16" xfId="35" applyFont="1" applyBorder="1" applyAlignment="1">
      <alignment vertical="top"/>
    </xf>
  </cellXfs>
  <cellStyles count="43">
    <cellStyle name="Comma" xfId="1" builtinId="3"/>
    <cellStyle name="Comma 2" xfId="37" xr:uid="{00000000-0005-0000-0000-000001000000}"/>
    <cellStyle name="Comma 2 2" xfId="41" xr:uid="{00000000-0005-0000-0000-000002000000}"/>
    <cellStyle name="Comma0" xfId="2" xr:uid="{00000000-0005-0000-0000-000003000000}"/>
    <cellStyle name="Currency0" xfId="3" xr:uid="{00000000-0005-0000-0000-000004000000}"/>
    <cellStyle name="Date" xfId="4" xr:uid="{00000000-0005-0000-0000-000005000000}"/>
    <cellStyle name="Fixed" xfId="5" xr:uid="{00000000-0005-0000-0000-000006000000}"/>
    <cellStyle name="Heading 1" xfId="6" builtinId="16" customBuiltin="1"/>
    <cellStyle name="Heading 2" xfId="7" builtinId="17" customBuiltin="1"/>
    <cellStyle name="Hyperlink" xfId="42" builtinId="8"/>
    <cellStyle name="Normal" xfId="0" builtinId="0"/>
    <cellStyle name="Normal 2" xfId="35" xr:uid="{00000000-0005-0000-0000-00000A000000}"/>
    <cellStyle name="Normal 3" xfId="36" xr:uid="{00000000-0005-0000-0000-00000B000000}"/>
    <cellStyle name="Normal 3 2" xfId="40" xr:uid="{00000000-0005-0000-0000-00000C000000}"/>
    <cellStyle name="Normal_Att HE-14-Cash" xfId="8" xr:uid="{00000000-0005-0000-0000-00000D000000}"/>
    <cellStyle name="Normal_Att_B" xfId="9" xr:uid="{00000000-0005-0000-0000-00000E000000}"/>
    <cellStyle name="Normal_Att_B(2)" xfId="10" xr:uid="{00000000-0005-0000-0000-00000F000000}"/>
    <cellStyle name="Normal_Att_C" xfId="11" xr:uid="{00000000-0005-0000-0000-000010000000}"/>
    <cellStyle name="Normal_Att_D" xfId="12" xr:uid="{00000000-0005-0000-0000-000011000000}"/>
    <cellStyle name="Normal_Att_E" xfId="13" xr:uid="{00000000-0005-0000-0000-000012000000}"/>
    <cellStyle name="Normal_Att_G" xfId="14" xr:uid="{00000000-0005-0000-0000-000013000000}"/>
    <cellStyle name="Normal_Att17" xfId="15" xr:uid="{00000000-0005-0000-0000-000014000000}"/>
    <cellStyle name="Normal_Att9" xfId="16" xr:uid="{00000000-0005-0000-0000-000015000000}"/>
    <cellStyle name="Normal_Attachment HE-Cash tabs" xfId="17" xr:uid="{00000000-0005-0000-0000-000016000000}"/>
    <cellStyle name="Normal_Book2" xfId="18" xr:uid="{00000000-0005-0000-0000-000017000000}"/>
    <cellStyle name="Normal_Capital Asset Footnote" xfId="19" xr:uid="{00000000-0005-0000-0000-000018000000}"/>
    <cellStyle name="Normal_Cash, Cash equivalent, Investment footnote" xfId="20" xr:uid="{00000000-0005-0000-0000-000019000000}"/>
    <cellStyle name="Normal_Certification tab (version 2) 2" xfId="38" xr:uid="{00000000-0005-0000-0000-00001A000000}"/>
    <cellStyle name="Normal_Checklist" xfId="21" xr:uid="{00000000-0005-0000-0000-00001B000000}"/>
    <cellStyle name="Normal_Commitment Footnote" xfId="22" xr:uid="{00000000-0005-0000-0000-00001C000000}"/>
    <cellStyle name="Normal_LT Liability Footnote (1)" xfId="23" xr:uid="{00000000-0005-0000-0000-00001D000000}"/>
    <cellStyle name="Normal_Miscellaneous footnotes" xfId="24" xr:uid="{00000000-0005-0000-0000-00001E000000}"/>
    <cellStyle name="Normal_Prior Year (FY 07) FST amounts" xfId="25" xr:uid="{00000000-0005-0000-0000-00001F000000}"/>
    <cellStyle name="Normal_Property, Plant &amp; Equipment" xfId="26" xr:uid="{00000000-0005-0000-0000-000020000000}"/>
    <cellStyle name="Normal_Receivable Footnote" xfId="27" xr:uid="{00000000-0005-0000-0000-000021000000}"/>
    <cellStyle name="Normal_Receivables" xfId="28" xr:uid="{00000000-0005-0000-0000-000022000000}"/>
    <cellStyle name="Normal_Sheet1" xfId="29" xr:uid="{00000000-0005-0000-0000-000023000000}"/>
    <cellStyle name="Normal_Sheet2" xfId="30" xr:uid="{00000000-0005-0000-0000-000024000000}"/>
    <cellStyle name="Normal_Short-term debt Footnote" xfId="31" xr:uid="{00000000-0005-0000-0000-000025000000}"/>
    <cellStyle name="Normal_VLOOKUP" xfId="39" xr:uid="{00000000-0005-0000-0000-000026000000}"/>
    <cellStyle name="Percent" xfId="32" builtinId="5"/>
    <cellStyle name="Style 1" xfId="33" xr:uid="{00000000-0005-0000-0000-000028000000}"/>
    <cellStyle name="Total" xfId="34" builtinId="25" customBuiltin="1"/>
  </cellStyles>
  <dxfs count="16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F15FE5AC-19B2-413B-96B9-CB639E21885A}"/>
  </tableStyles>
  <colors>
    <mruColors>
      <color rgb="FF0000FF"/>
      <color rgb="FFE0EACC"/>
      <color rgb="FFFFFF99"/>
      <color rgb="FF0033CC"/>
      <color rgb="FF00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30</xdr:row>
          <xdr:rowOff>19050</xdr:rowOff>
        </xdr:from>
        <xdr:to>
          <xdr:col>10</xdr:col>
          <xdr:colOff>314325</xdr:colOff>
          <xdr:row>30</xdr:row>
          <xdr:rowOff>190500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1D00-000001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314325</xdr:colOff>
          <xdr:row>33</xdr:row>
          <xdr:rowOff>161925</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1D00-000002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314325</xdr:colOff>
          <xdr:row>36</xdr:row>
          <xdr:rowOff>180975</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1D00-000003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10</xdr:col>
          <xdr:colOff>314325</xdr:colOff>
          <xdr:row>39</xdr:row>
          <xdr:rowOff>171450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1D00-000004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19050</xdr:rowOff>
        </xdr:from>
        <xdr:to>
          <xdr:col>10</xdr:col>
          <xdr:colOff>314325</xdr:colOff>
          <xdr:row>56</xdr:row>
          <xdr:rowOff>171450</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1D00-000005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19050</xdr:rowOff>
        </xdr:from>
        <xdr:to>
          <xdr:col>10</xdr:col>
          <xdr:colOff>314325</xdr:colOff>
          <xdr:row>59</xdr:row>
          <xdr:rowOff>180975</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1D00-000006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62</xdr:row>
          <xdr:rowOff>19050</xdr:rowOff>
        </xdr:from>
        <xdr:to>
          <xdr:col>10</xdr:col>
          <xdr:colOff>314325</xdr:colOff>
          <xdr:row>62</xdr:row>
          <xdr:rowOff>161925</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id="{00000000-0008-0000-1D00-000007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65</xdr:row>
          <xdr:rowOff>19050</xdr:rowOff>
        </xdr:from>
        <xdr:to>
          <xdr:col>10</xdr:col>
          <xdr:colOff>314325</xdr:colOff>
          <xdr:row>65</xdr:row>
          <xdr:rowOff>161925</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id="{00000000-0008-0000-1D00-000008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314325</xdr:colOff>
          <xdr:row>42</xdr:row>
          <xdr:rowOff>200025</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1D00-000009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19050</xdr:rowOff>
        </xdr:from>
        <xdr:to>
          <xdr:col>10</xdr:col>
          <xdr:colOff>314325</xdr:colOff>
          <xdr:row>45</xdr:row>
          <xdr:rowOff>180975</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1D00-00000A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48</xdr:row>
          <xdr:rowOff>19050</xdr:rowOff>
        </xdr:from>
        <xdr:to>
          <xdr:col>10</xdr:col>
          <xdr:colOff>314325</xdr:colOff>
          <xdr:row>48</xdr:row>
          <xdr:rowOff>180975</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1D00-00000B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51</xdr:row>
          <xdr:rowOff>19050</xdr:rowOff>
        </xdr:from>
        <xdr:to>
          <xdr:col>10</xdr:col>
          <xdr:colOff>314325</xdr:colOff>
          <xdr:row>51</xdr:row>
          <xdr:rowOff>171450</xdr:rowOff>
        </xdr:to>
        <xdr:sp macro="" textlink="">
          <xdr:nvSpPr>
            <xdr:cNvPr id="96268" name="Check Box 12" hidden="1">
              <a:extLst>
                <a:ext uri="{63B3BB69-23CF-44E3-9099-C40C66FF867C}">
                  <a14:compatExt spid="_x0000_s96268"/>
                </a:ext>
                <a:ext uri="{FF2B5EF4-FFF2-40B4-BE49-F238E27FC236}">
                  <a16:creationId xmlns:a16="http://schemas.microsoft.com/office/drawing/2014/main" id="{00000000-0008-0000-1D00-00000C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68</xdr:row>
          <xdr:rowOff>19050</xdr:rowOff>
        </xdr:from>
        <xdr:to>
          <xdr:col>10</xdr:col>
          <xdr:colOff>314325</xdr:colOff>
          <xdr:row>68</xdr:row>
          <xdr:rowOff>161925</xdr:rowOff>
        </xdr:to>
        <xdr:sp macro="" textlink="">
          <xdr:nvSpPr>
            <xdr:cNvPr id="96269" name="Check Box 13" hidden="1">
              <a:extLst>
                <a:ext uri="{63B3BB69-23CF-44E3-9099-C40C66FF867C}">
                  <a14:compatExt spid="_x0000_s96269"/>
                </a:ext>
                <a:ext uri="{FF2B5EF4-FFF2-40B4-BE49-F238E27FC236}">
                  <a16:creationId xmlns:a16="http://schemas.microsoft.com/office/drawing/2014/main" id="{00000000-0008-0000-1D00-00000D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71</xdr:row>
          <xdr:rowOff>19050</xdr:rowOff>
        </xdr:from>
        <xdr:to>
          <xdr:col>10</xdr:col>
          <xdr:colOff>314325</xdr:colOff>
          <xdr:row>71</xdr:row>
          <xdr:rowOff>161925</xdr:rowOff>
        </xdr:to>
        <xdr:sp macro="" textlink="">
          <xdr:nvSpPr>
            <xdr:cNvPr id="96270" name="Check Box 14" hidden="1">
              <a:extLst>
                <a:ext uri="{63B3BB69-23CF-44E3-9099-C40C66FF867C}">
                  <a14:compatExt spid="_x0000_s96270"/>
                </a:ext>
                <a:ext uri="{FF2B5EF4-FFF2-40B4-BE49-F238E27FC236}">
                  <a16:creationId xmlns:a16="http://schemas.microsoft.com/office/drawing/2014/main" id="{00000000-0008-0000-1D00-00000E7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6.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42"/>
  <sheetViews>
    <sheetView zoomScale="110" zoomScaleNormal="110" zoomScaleSheetLayoutView="75" workbookViewId="0">
      <pane xSplit="4" ySplit="10" topLeftCell="E11" activePane="bottomRight" state="frozen"/>
      <selection activeCell="AD254" sqref="AD254"/>
      <selection pane="topRight" activeCell="AD254" sqref="AD254"/>
      <selection pane="bottomLeft" activeCell="AD254" sqref="AD254"/>
      <selection pane="bottomRight"/>
    </sheetView>
  </sheetViews>
  <sheetFormatPr defaultColWidth="10.6640625" defaultRowHeight="12.75" x14ac:dyDescent="0.2"/>
  <cols>
    <col min="1" max="1" width="4.6640625" style="545" customWidth="1"/>
    <col min="2" max="2" width="1.83203125" style="545" customWidth="1"/>
    <col min="3" max="3" width="0.6640625" style="545" customWidth="1"/>
    <col min="4" max="4" width="56.5" style="545" customWidth="1"/>
    <col min="5" max="5" width="16.33203125" style="548" customWidth="1"/>
    <col min="6" max="6" width="0.5" style="548" hidden="1" customWidth="1"/>
    <col min="7" max="7" width="19.5" style="3" customWidth="1"/>
    <col min="8" max="28" width="19.5" style="546" customWidth="1"/>
    <col min="29" max="29" width="15" style="546" customWidth="1"/>
    <col min="30" max="30" width="30.6640625" style="546" customWidth="1"/>
    <col min="31" max="16384" width="10.6640625" style="546"/>
  </cols>
  <sheetData>
    <row r="1" spans="1:28" x14ac:dyDescent="0.2">
      <c r="A1" s="824" t="s">
        <v>1717</v>
      </c>
      <c r="E1" s="809" t="s">
        <v>1258</v>
      </c>
      <c r="F1" s="553"/>
      <c r="G1" s="205"/>
      <c r="H1" s="595" t="s">
        <v>1193</v>
      </c>
      <c r="I1" s="595" t="s">
        <v>1159</v>
      </c>
      <c r="J1" s="595" t="s">
        <v>1195</v>
      </c>
      <c r="K1" s="595" t="s">
        <v>1200</v>
      </c>
      <c r="L1" s="595" t="s">
        <v>1179</v>
      </c>
      <c r="M1" s="595" t="s">
        <v>1175</v>
      </c>
      <c r="N1" s="595" t="s">
        <v>1177</v>
      </c>
      <c r="O1" s="595" t="s">
        <v>1207</v>
      </c>
      <c r="P1" s="595" t="s">
        <v>1173</v>
      </c>
      <c r="Q1" s="595" t="s">
        <v>1183</v>
      </c>
      <c r="R1" s="595" t="s">
        <v>1203</v>
      </c>
      <c r="S1" s="595" t="s">
        <v>1181</v>
      </c>
      <c r="T1" s="595" t="s">
        <v>1205</v>
      </c>
      <c r="U1" s="595" t="s">
        <v>1209</v>
      </c>
      <c r="V1" s="595" t="s">
        <v>1166</v>
      </c>
      <c r="W1" s="595" t="s">
        <v>1187</v>
      </c>
      <c r="X1" s="595" t="s">
        <v>1189</v>
      </c>
      <c r="Y1" s="595" t="s">
        <v>1197</v>
      </c>
      <c r="Z1" s="595" t="s">
        <v>1170</v>
      </c>
      <c r="AA1" s="595" t="s">
        <v>1169</v>
      </c>
      <c r="AB1" s="595" t="s">
        <v>1172</v>
      </c>
    </row>
    <row r="2" spans="1:28" x14ac:dyDescent="0.2">
      <c r="A2" s="554" t="s">
        <v>354</v>
      </c>
      <c r="B2" s="554"/>
      <c r="C2" s="554"/>
      <c r="D2" s="554"/>
      <c r="E2" s="550"/>
      <c r="F2" s="555"/>
      <c r="G2" s="811"/>
      <c r="H2" s="811">
        <v>33447666</v>
      </c>
      <c r="I2" s="811">
        <v>3628159</v>
      </c>
      <c r="J2" s="811">
        <v>648206069</v>
      </c>
      <c r="K2" s="811">
        <v>0</v>
      </c>
      <c r="L2" s="811">
        <v>238253684</v>
      </c>
      <c r="M2" s="811">
        <v>3429373</v>
      </c>
      <c r="N2" s="811">
        <v>10107636</v>
      </c>
      <c r="O2" s="811">
        <v>470196</v>
      </c>
      <c r="P2" s="811">
        <v>34812923</v>
      </c>
      <c r="Q2" s="811">
        <v>110751116</v>
      </c>
      <c r="R2" s="811">
        <v>0</v>
      </c>
      <c r="S2" s="811">
        <v>153963337</v>
      </c>
      <c r="T2" s="1122">
        <f>390883+2719</f>
        <v>393602</v>
      </c>
      <c r="U2" s="1125">
        <f>0+498</f>
        <v>498</v>
      </c>
      <c r="V2" s="1122">
        <f>0+429076+140616</f>
        <v>569692</v>
      </c>
      <c r="W2" s="811">
        <v>0</v>
      </c>
      <c r="X2" s="811">
        <v>0</v>
      </c>
      <c r="Y2" s="811">
        <v>256186914</v>
      </c>
      <c r="Z2" s="1125">
        <f>24159395-6999</f>
        <v>24152396</v>
      </c>
      <c r="AA2" s="811">
        <v>0</v>
      </c>
      <c r="AB2" s="811">
        <v>48979976</v>
      </c>
    </row>
    <row r="3" spans="1:28" x14ac:dyDescent="0.2">
      <c r="A3" s="554" t="s">
        <v>353</v>
      </c>
      <c r="B3" s="554"/>
      <c r="C3" s="554"/>
      <c r="D3" s="554"/>
      <c r="E3" s="550"/>
      <c r="F3" s="555"/>
      <c r="G3" s="811"/>
      <c r="H3" s="811">
        <v>5101063</v>
      </c>
      <c r="I3" s="811">
        <v>110754001</v>
      </c>
      <c r="J3" s="811">
        <v>26108394</v>
      </c>
      <c r="K3" s="811">
        <v>11583339</v>
      </c>
      <c r="L3" s="811">
        <v>42941738</v>
      </c>
      <c r="M3" s="811">
        <v>1679820</v>
      </c>
      <c r="N3" s="811">
        <v>27252856</v>
      </c>
      <c r="O3" s="811">
        <v>0</v>
      </c>
      <c r="P3" s="811">
        <v>6826134</v>
      </c>
      <c r="Q3" s="811">
        <v>59680761</v>
      </c>
      <c r="R3" s="811">
        <v>1722171</v>
      </c>
      <c r="S3" s="811">
        <v>10771730</v>
      </c>
      <c r="T3" s="811">
        <v>3651</v>
      </c>
      <c r="U3" s="811">
        <v>0</v>
      </c>
      <c r="V3" s="1122">
        <f>158516056+34117234-17606797-14592652</f>
        <v>160433841</v>
      </c>
      <c r="W3" s="811">
        <v>82682331</v>
      </c>
      <c r="X3" s="811">
        <v>113157287</v>
      </c>
      <c r="Y3" s="811">
        <v>51720078</v>
      </c>
      <c r="Z3" s="811">
        <v>5565675</v>
      </c>
      <c r="AA3" s="1125">
        <f>-17444000-112000</f>
        <v>-17556000</v>
      </c>
      <c r="AB3" s="811">
        <v>-981538</v>
      </c>
    </row>
    <row r="4" spans="1:28" x14ac:dyDescent="0.2">
      <c r="A4" s="554" t="s">
        <v>468</v>
      </c>
      <c r="B4" s="554"/>
      <c r="C4" s="554"/>
      <c r="D4" s="554"/>
      <c r="E4" s="550"/>
      <c r="F4" s="555"/>
      <c r="G4" s="811"/>
      <c r="H4" s="811">
        <v>0</v>
      </c>
      <c r="I4" s="811">
        <v>0</v>
      </c>
      <c r="J4" s="811">
        <v>0</v>
      </c>
      <c r="K4" s="811">
        <v>0</v>
      </c>
      <c r="L4" s="811">
        <v>0</v>
      </c>
      <c r="M4" s="811">
        <v>0</v>
      </c>
      <c r="N4" s="811">
        <v>0</v>
      </c>
      <c r="O4" s="811">
        <v>0</v>
      </c>
      <c r="P4" s="811">
        <v>0</v>
      </c>
      <c r="Q4" s="811">
        <v>0</v>
      </c>
      <c r="R4" s="811">
        <v>900049</v>
      </c>
      <c r="S4" s="811">
        <v>0</v>
      </c>
      <c r="T4" s="811">
        <v>0</v>
      </c>
      <c r="U4" s="811">
        <v>0</v>
      </c>
      <c r="V4" s="811">
        <v>0</v>
      </c>
      <c r="W4" s="811">
        <v>0</v>
      </c>
      <c r="X4" s="811">
        <v>0</v>
      </c>
      <c r="Y4" s="811">
        <v>59904925</v>
      </c>
      <c r="Z4" s="811">
        <v>0</v>
      </c>
      <c r="AA4" s="811">
        <v>0</v>
      </c>
      <c r="AB4" s="811">
        <v>0</v>
      </c>
    </row>
    <row r="5" spans="1:28" ht="26.25" customHeight="1" x14ac:dyDescent="0.2">
      <c r="A5" s="1153" t="s">
        <v>469</v>
      </c>
      <c r="B5" s="1153"/>
      <c r="C5" s="1153"/>
      <c r="D5" s="1153"/>
      <c r="E5" s="550"/>
      <c r="F5" s="555"/>
      <c r="G5" s="811"/>
      <c r="H5" s="811">
        <v>0</v>
      </c>
      <c r="I5" s="811">
        <v>0</v>
      </c>
      <c r="J5" s="811">
        <v>0</v>
      </c>
      <c r="K5" s="811">
        <v>0</v>
      </c>
      <c r="L5" s="811">
        <v>0</v>
      </c>
      <c r="M5" s="811">
        <v>0</v>
      </c>
      <c r="N5" s="811">
        <v>0</v>
      </c>
      <c r="O5" s="811">
        <v>0</v>
      </c>
      <c r="P5" s="811">
        <v>0</v>
      </c>
      <c r="Q5" s="811">
        <v>0</v>
      </c>
      <c r="R5" s="811">
        <v>0</v>
      </c>
      <c r="S5" s="811">
        <v>0</v>
      </c>
      <c r="T5" s="811">
        <v>0</v>
      </c>
      <c r="U5" s="811">
        <v>0</v>
      </c>
      <c r="V5" s="811">
        <v>0</v>
      </c>
      <c r="W5" s="811">
        <v>0</v>
      </c>
      <c r="X5" s="811">
        <v>0</v>
      </c>
      <c r="Y5" s="811">
        <v>0</v>
      </c>
      <c r="Z5" s="811">
        <v>0</v>
      </c>
      <c r="AA5" s="811">
        <v>0</v>
      </c>
      <c r="AB5" s="811">
        <v>0</v>
      </c>
    </row>
    <row r="6" spans="1:28" ht="27" customHeight="1" x14ac:dyDescent="0.2">
      <c r="A6" s="1153" t="s">
        <v>470</v>
      </c>
      <c r="B6" s="1153"/>
      <c r="C6" s="1153"/>
      <c r="D6" s="1153"/>
      <c r="E6" s="550"/>
      <c r="F6" s="555"/>
      <c r="G6" s="811"/>
      <c r="H6" s="811">
        <v>107477</v>
      </c>
      <c r="I6" s="811">
        <v>1691440</v>
      </c>
      <c r="J6" s="811">
        <v>0</v>
      </c>
      <c r="K6" s="811">
        <v>0</v>
      </c>
      <c r="L6" s="811">
        <v>127364</v>
      </c>
      <c r="M6" s="811">
        <v>0</v>
      </c>
      <c r="N6" s="811">
        <v>0</v>
      </c>
      <c r="O6" s="811">
        <v>0</v>
      </c>
      <c r="P6" s="811">
        <v>921750</v>
      </c>
      <c r="Q6" s="811">
        <v>206445</v>
      </c>
      <c r="R6" s="811">
        <v>750000</v>
      </c>
      <c r="S6" s="811">
        <v>0</v>
      </c>
      <c r="T6" s="811">
        <v>0</v>
      </c>
      <c r="U6" s="811">
        <v>0</v>
      </c>
      <c r="V6" s="1122">
        <f>6857014+17606797</f>
        <v>24463811</v>
      </c>
      <c r="W6" s="811">
        <v>0</v>
      </c>
      <c r="X6" s="811">
        <v>208420696</v>
      </c>
      <c r="Y6" s="811">
        <v>25215573</v>
      </c>
      <c r="Z6" s="811">
        <v>0</v>
      </c>
      <c r="AA6" s="811">
        <v>237182000</v>
      </c>
      <c r="AB6" s="811">
        <v>0</v>
      </c>
    </row>
    <row r="7" spans="1:28" x14ac:dyDescent="0.2">
      <c r="A7" s="554" t="s">
        <v>77</v>
      </c>
      <c r="B7" s="554"/>
      <c r="C7" s="554"/>
      <c r="D7" s="554"/>
      <c r="E7" s="549"/>
      <c r="F7" s="555"/>
      <c r="G7" s="198"/>
      <c r="H7" s="198"/>
      <c r="I7" s="198"/>
      <c r="J7" s="198"/>
      <c r="K7" s="198"/>
      <c r="L7" s="198"/>
      <c r="M7" s="198"/>
      <c r="N7" s="198"/>
      <c r="O7" s="198"/>
      <c r="P7" s="198"/>
      <c r="Q7" s="198"/>
      <c r="R7" s="198"/>
      <c r="S7" s="198"/>
      <c r="T7" s="198"/>
      <c r="U7" s="198"/>
      <c r="V7" s="198"/>
      <c r="W7" s="198"/>
      <c r="X7" s="198"/>
      <c r="Y7" s="198"/>
      <c r="Z7" s="198"/>
      <c r="AA7" s="198"/>
      <c r="AB7" s="198"/>
    </row>
    <row r="8" spans="1:28" x14ac:dyDescent="0.2">
      <c r="A8" s="554" t="s">
        <v>502</v>
      </c>
      <c r="B8" s="554"/>
      <c r="C8" s="554"/>
      <c r="D8" s="554"/>
      <c r="E8" s="550"/>
      <c r="F8" s="555"/>
      <c r="G8" s="811"/>
      <c r="H8" s="811">
        <v>2955244</v>
      </c>
      <c r="I8" s="811">
        <v>214289</v>
      </c>
      <c r="J8" s="811">
        <v>55158589</v>
      </c>
      <c r="K8" s="811">
        <v>0</v>
      </c>
      <c r="L8" s="811">
        <v>18380983</v>
      </c>
      <c r="M8" s="811">
        <v>162573</v>
      </c>
      <c r="N8" s="811">
        <v>682615</v>
      </c>
      <c r="O8" s="811">
        <v>0</v>
      </c>
      <c r="P8" s="811">
        <v>2472025</v>
      </c>
      <c r="Q8" s="811">
        <v>10955790</v>
      </c>
      <c r="R8" s="811">
        <v>0</v>
      </c>
      <c r="S8" s="811">
        <v>12906774</v>
      </c>
      <c r="T8" s="811">
        <v>0</v>
      </c>
      <c r="U8" s="811">
        <v>0</v>
      </c>
      <c r="V8" s="811">
        <v>0</v>
      </c>
      <c r="W8" s="811">
        <v>0</v>
      </c>
      <c r="X8" s="811">
        <v>0</v>
      </c>
      <c r="Y8" s="811">
        <v>86074</v>
      </c>
      <c r="Z8" s="811">
        <v>1865427</v>
      </c>
      <c r="AA8" s="811">
        <v>0</v>
      </c>
      <c r="AB8" s="811">
        <v>3653281</v>
      </c>
    </row>
    <row r="9" spans="1:28" x14ac:dyDescent="0.2">
      <c r="A9" s="554"/>
      <c r="B9" s="554"/>
      <c r="C9" s="556" t="s">
        <v>480</v>
      </c>
      <c r="D9" s="554"/>
      <c r="E9" s="550"/>
      <c r="F9" s="555"/>
      <c r="G9" s="15">
        <f>SUM(G2:G8)</f>
        <v>0</v>
      </c>
      <c r="H9" s="15">
        <f t="shared" ref="H9:AB9" si="0">SUM(H2:H8)</f>
        <v>41611450</v>
      </c>
      <c r="I9" s="15">
        <f t="shared" si="0"/>
        <v>116287889</v>
      </c>
      <c r="J9" s="15">
        <f t="shared" si="0"/>
        <v>729473052</v>
      </c>
      <c r="K9" s="15">
        <f t="shared" si="0"/>
        <v>11583339</v>
      </c>
      <c r="L9" s="15">
        <f t="shared" si="0"/>
        <v>299703769</v>
      </c>
      <c r="M9" s="15">
        <f t="shared" si="0"/>
        <v>5271766</v>
      </c>
      <c r="N9" s="15">
        <f t="shared" si="0"/>
        <v>38043107</v>
      </c>
      <c r="O9" s="15">
        <f t="shared" si="0"/>
        <v>470196</v>
      </c>
      <c r="P9" s="15">
        <f t="shared" si="0"/>
        <v>45032832</v>
      </c>
      <c r="Q9" s="15">
        <f t="shared" si="0"/>
        <v>181594112</v>
      </c>
      <c r="R9" s="15">
        <f t="shared" si="0"/>
        <v>3372220</v>
      </c>
      <c r="S9" s="15">
        <f t="shared" si="0"/>
        <v>177641841</v>
      </c>
      <c r="T9" s="15">
        <f t="shared" si="0"/>
        <v>397253</v>
      </c>
      <c r="U9" s="15">
        <f t="shared" si="0"/>
        <v>498</v>
      </c>
      <c r="V9" s="15">
        <f t="shared" si="0"/>
        <v>185467344</v>
      </c>
      <c r="W9" s="15">
        <f t="shared" si="0"/>
        <v>82682331</v>
      </c>
      <c r="X9" s="15">
        <f t="shared" si="0"/>
        <v>321577983</v>
      </c>
      <c r="Y9" s="15">
        <f t="shared" si="0"/>
        <v>393113564</v>
      </c>
      <c r="Z9" s="15">
        <f t="shared" si="0"/>
        <v>31583498</v>
      </c>
      <c r="AA9" s="15">
        <f t="shared" si="0"/>
        <v>219626000</v>
      </c>
      <c r="AB9" s="15">
        <f t="shared" si="0"/>
        <v>51651719</v>
      </c>
    </row>
    <row r="10" spans="1:28" x14ac:dyDescent="0.2">
      <c r="A10" s="554"/>
      <c r="B10" s="554"/>
      <c r="C10" s="554"/>
      <c r="D10" s="554"/>
      <c r="E10" s="550"/>
      <c r="F10" s="550"/>
      <c r="G10" s="12"/>
      <c r="H10" s="12"/>
      <c r="I10" s="12"/>
      <c r="J10" s="12"/>
      <c r="K10" s="12"/>
      <c r="L10" s="12"/>
      <c r="M10" s="12"/>
      <c r="N10" s="12"/>
      <c r="O10" s="12"/>
      <c r="P10" s="12"/>
      <c r="Q10" s="12"/>
      <c r="R10" s="12"/>
      <c r="S10" s="12"/>
      <c r="T10" s="12"/>
      <c r="U10" s="12"/>
      <c r="V10" s="12"/>
      <c r="W10" s="12"/>
      <c r="X10" s="12"/>
      <c r="Y10" s="12"/>
      <c r="Z10" s="12"/>
      <c r="AA10" s="12"/>
      <c r="AB10" s="12"/>
    </row>
    <row r="11" spans="1:28" x14ac:dyDescent="0.2">
      <c r="A11" s="707"/>
      <c r="B11" s="554"/>
      <c r="C11" s="554"/>
      <c r="D11" s="554"/>
      <c r="E11" s="550"/>
      <c r="F11" s="550"/>
      <c r="G11" s="12"/>
      <c r="H11" s="12"/>
      <c r="I11" s="12"/>
      <c r="J11" s="12"/>
      <c r="K11" s="12"/>
      <c r="L11" s="12"/>
      <c r="M11" s="12"/>
      <c r="N11" s="12"/>
      <c r="O11" s="12"/>
      <c r="P11" s="12"/>
      <c r="Q11" s="12"/>
      <c r="R11" s="12"/>
      <c r="S11" s="12"/>
      <c r="T11" s="12"/>
      <c r="U11" s="12"/>
      <c r="V11" s="12"/>
      <c r="W11" s="12"/>
      <c r="X11" s="12"/>
      <c r="Y11" s="12"/>
      <c r="Z11" s="12"/>
      <c r="AA11" s="12"/>
      <c r="AB11" s="12"/>
    </row>
    <row r="12" spans="1:28" x14ac:dyDescent="0.2">
      <c r="A12" s="554"/>
      <c r="B12" s="554"/>
      <c r="C12" s="554"/>
      <c r="D12" s="707"/>
      <c r="E12" s="550"/>
      <c r="F12" s="555"/>
      <c r="G12" s="209"/>
      <c r="H12" s="209"/>
      <c r="I12" s="209"/>
      <c r="J12" s="209"/>
      <c r="K12" s="209"/>
      <c r="L12" s="209"/>
      <c r="M12" s="209"/>
      <c r="N12" s="209"/>
      <c r="O12" s="209"/>
      <c r="P12" s="209"/>
      <c r="Q12" s="209"/>
      <c r="R12" s="209"/>
      <c r="S12" s="209"/>
      <c r="T12" s="209"/>
      <c r="U12" s="209"/>
      <c r="V12" s="209"/>
      <c r="W12" s="209"/>
      <c r="X12" s="209"/>
      <c r="Y12" s="209"/>
      <c r="Z12" s="209"/>
      <c r="AA12" s="209"/>
      <c r="AB12" s="209"/>
    </row>
    <row r="13" spans="1:28" x14ac:dyDescent="0.2">
      <c r="A13" s="554" t="s">
        <v>471</v>
      </c>
      <c r="B13" s="554"/>
      <c r="C13" s="554"/>
      <c r="D13" s="554"/>
      <c r="E13" s="550"/>
      <c r="F13" s="555"/>
      <c r="G13" s="811"/>
      <c r="H13" s="811">
        <v>0</v>
      </c>
      <c r="I13" s="811">
        <v>0</v>
      </c>
      <c r="J13" s="811">
        <v>0</v>
      </c>
      <c r="K13" s="811">
        <v>0</v>
      </c>
      <c r="L13" s="811">
        <v>0</v>
      </c>
      <c r="M13" s="811">
        <v>0</v>
      </c>
      <c r="N13" s="811">
        <v>0</v>
      </c>
      <c r="O13" s="811">
        <v>0</v>
      </c>
      <c r="P13" s="811">
        <v>0</v>
      </c>
      <c r="Q13" s="811">
        <v>0</v>
      </c>
      <c r="R13" s="811">
        <v>33</v>
      </c>
      <c r="S13" s="811">
        <v>0</v>
      </c>
      <c r="T13" s="811">
        <v>0</v>
      </c>
      <c r="U13" s="811">
        <v>0</v>
      </c>
      <c r="V13" s="811">
        <v>0</v>
      </c>
      <c r="W13" s="811">
        <v>0</v>
      </c>
      <c r="X13" s="811">
        <v>0</v>
      </c>
      <c r="Y13" s="811">
        <v>7563493</v>
      </c>
      <c r="Z13" s="811">
        <v>0</v>
      </c>
      <c r="AA13" s="811">
        <v>0</v>
      </c>
      <c r="AB13" s="811">
        <v>0</v>
      </c>
    </row>
    <row r="14" spans="1:28" x14ac:dyDescent="0.2">
      <c r="A14" s="554" t="s">
        <v>395</v>
      </c>
      <c r="B14" s="554"/>
      <c r="C14" s="554"/>
      <c r="D14" s="554"/>
      <c r="E14" s="550"/>
      <c r="F14" s="555"/>
      <c r="G14" s="811"/>
      <c r="H14" s="811">
        <v>0</v>
      </c>
      <c r="I14" s="811">
        <v>141172608</v>
      </c>
      <c r="J14" s="811">
        <v>0</v>
      </c>
      <c r="K14" s="811">
        <v>3035524</v>
      </c>
      <c r="L14" s="811">
        <v>7989305</v>
      </c>
      <c r="M14" s="811">
        <v>0</v>
      </c>
      <c r="N14" s="811">
        <v>0</v>
      </c>
      <c r="O14" s="811">
        <v>0</v>
      </c>
      <c r="P14" s="811">
        <v>0</v>
      </c>
      <c r="Q14" s="1119">
        <f>9869919+2380061+1133688-2380061</f>
        <v>11003607</v>
      </c>
      <c r="R14" s="811">
        <v>0</v>
      </c>
      <c r="S14" s="811">
        <v>13606</v>
      </c>
      <c r="T14" s="811">
        <v>0</v>
      </c>
      <c r="U14" s="811">
        <v>0</v>
      </c>
      <c r="V14" s="1122">
        <f>3807465279+95455</f>
        <v>3807560734</v>
      </c>
      <c r="W14" s="811">
        <v>513031941</v>
      </c>
      <c r="X14" s="811">
        <v>1474695263</v>
      </c>
      <c r="Y14" s="811">
        <v>72897072</v>
      </c>
      <c r="Z14" s="811">
        <v>14828704</v>
      </c>
      <c r="AA14" s="811">
        <v>740019000</v>
      </c>
      <c r="AB14" s="1125">
        <f>29471674+280741</f>
        <v>29752415</v>
      </c>
    </row>
    <row r="15" spans="1:28" x14ac:dyDescent="0.2">
      <c r="A15" s="554" t="s">
        <v>744</v>
      </c>
      <c r="B15" s="554"/>
      <c r="C15" s="554"/>
      <c r="D15" s="554"/>
      <c r="E15" s="549"/>
      <c r="F15" s="555"/>
      <c r="G15" s="194"/>
      <c r="H15" s="194"/>
      <c r="I15" s="194"/>
      <c r="J15" s="194"/>
      <c r="K15" s="194"/>
      <c r="L15" s="194"/>
      <c r="M15" s="194"/>
      <c r="N15" s="194"/>
      <c r="O15" s="194"/>
      <c r="P15" s="194"/>
      <c r="Q15" s="194"/>
      <c r="R15" s="194"/>
      <c r="S15" s="194"/>
      <c r="T15" s="194"/>
      <c r="U15" s="194"/>
      <c r="V15" s="194"/>
      <c r="W15" s="194"/>
      <c r="X15" s="194"/>
      <c r="Y15" s="194"/>
      <c r="Z15" s="194"/>
      <c r="AA15" s="194"/>
      <c r="AB15" s="194"/>
    </row>
    <row r="16" spans="1:28" x14ac:dyDescent="0.2">
      <c r="A16" s="554" t="s">
        <v>117</v>
      </c>
      <c r="B16" s="554"/>
      <c r="C16" s="554"/>
      <c r="D16" s="554"/>
      <c r="E16" s="550"/>
      <c r="F16" s="555"/>
      <c r="G16" s="811"/>
      <c r="H16" s="811">
        <v>0</v>
      </c>
      <c r="I16" s="811">
        <v>0</v>
      </c>
      <c r="J16" s="811">
        <v>0</v>
      </c>
      <c r="K16" s="811">
        <v>0</v>
      </c>
      <c r="L16" s="811">
        <v>0</v>
      </c>
      <c r="M16" s="811">
        <v>0</v>
      </c>
      <c r="N16" s="811">
        <v>0</v>
      </c>
      <c r="O16" s="811">
        <v>0</v>
      </c>
      <c r="P16" s="811">
        <v>0</v>
      </c>
      <c r="Q16" s="811">
        <v>0</v>
      </c>
      <c r="R16" s="811">
        <v>0</v>
      </c>
      <c r="S16" s="811">
        <v>0</v>
      </c>
      <c r="T16" s="811">
        <v>0</v>
      </c>
      <c r="U16" s="811">
        <v>0</v>
      </c>
      <c r="V16" s="811">
        <v>0</v>
      </c>
      <c r="W16" s="811">
        <v>0</v>
      </c>
      <c r="X16" s="811">
        <v>0</v>
      </c>
      <c r="Y16" s="811">
        <v>0</v>
      </c>
      <c r="Z16" s="811">
        <v>0</v>
      </c>
      <c r="AA16" s="811">
        <v>0</v>
      </c>
      <c r="AB16" s="811">
        <v>0</v>
      </c>
    </row>
    <row r="17" spans="1:30" x14ac:dyDescent="0.2">
      <c r="A17" s="554"/>
      <c r="B17" s="554"/>
      <c r="C17" s="556" t="s">
        <v>481</v>
      </c>
      <c r="D17" s="554"/>
      <c r="E17" s="550"/>
      <c r="F17" s="555"/>
      <c r="G17" s="15">
        <f>SUM(G13:G16)</f>
        <v>0</v>
      </c>
      <c r="H17" s="15">
        <f t="shared" ref="H17:AB17" si="1">SUM(H13:H16)</f>
        <v>0</v>
      </c>
      <c r="I17" s="15">
        <f t="shared" si="1"/>
        <v>141172608</v>
      </c>
      <c r="J17" s="15">
        <f t="shared" si="1"/>
        <v>0</v>
      </c>
      <c r="K17" s="15">
        <f t="shared" si="1"/>
        <v>3035524</v>
      </c>
      <c r="L17" s="15">
        <f t="shared" si="1"/>
        <v>7989305</v>
      </c>
      <c r="M17" s="15">
        <f t="shared" si="1"/>
        <v>0</v>
      </c>
      <c r="N17" s="15">
        <f t="shared" si="1"/>
        <v>0</v>
      </c>
      <c r="O17" s="15">
        <f t="shared" si="1"/>
        <v>0</v>
      </c>
      <c r="P17" s="15">
        <f t="shared" si="1"/>
        <v>0</v>
      </c>
      <c r="Q17" s="15">
        <f t="shared" si="1"/>
        <v>11003607</v>
      </c>
      <c r="R17" s="15">
        <f t="shared" si="1"/>
        <v>33</v>
      </c>
      <c r="S17" s="15">
        <f t="shared" si="1"/>
        <v>13606</v>
      </c>
      <c r="T17" s="15">
        <f t="shared" si="1"/>
        <v>0</v>
      </c>
      <c r="U17" s="15">
        <f t="shared" si="1"/>
        <v>0</v>
      </c>
      <c r="V17" s="15">
        <f t="shared" si="1"/>
        <v>3807560734</v>
      </c>
      <c r="W17" s="15">
        <f t="shared" si="1"/>
        <v>513031941</v>
      </c>
      <c r="X17" s="15">
        <f t="shared" si="1"/>
        <v>1474695263</v>
      </c>
      <c r="Y17" s="15">
        <f t="shared" si="1"/>
        <v>80460565</v>
      </c>
      <c r="Z17" s="15">
        <f t="shared" si="1"/>
        <v>14828704</v>
      </c>
      <c r="AA17" s="15">
        <f t="shared" si="1"/>
        <v>740019000</v>
      </c>
      <c r="AB17" s="15">
        <f t="shared" si="1"/>
        <v>29752415</v>
      </c>
    </row>
    <row r="18" spans="1:30" x14ac:dyDescent="0.2">
      <c r="A18" s="554"/>
      <c r="B18" s="554"/>
      <c r="C18" s="554"/>
      <c r="D18" s="554"/>
      <c r="E18" s="550"/>
      <c r="F18" s="550"/>
      <c r="G18" s="12"/>
      <c r="H18" s="12"/>
      <c r="I18" s="12"/>
      <c r="J18" s="12"/>
      <c r="K18" s="12"/>
      <c r="L18" s="12"/>
      <c r="M18" s="12"/>
      <c r="N18" s="12"/>
      <c r="O18" s="12"/>
      <c r="P18" s="12"/>
      <c r="Q18" s="12"/>
      <c r="R18" s="12"/>
      <c r="S18" s="12"/>
      <c r="T18" s="12"/>
      <c r="U18" s="12"/>
      <c r="V18" s="12"/>
      <c r="W18" s="12"/>
      <c r="X18" s="12"/>
      <c r="Y18" s="12"/>
      <c r="Z18" s="12"/>
      <c r="AA18" s="12"/>
      <c r="AB18" s="12"/>
    </row>
    <row r="19" spans="1:30" x14ac:dyDescent="0.2">
      <c r="A19" s="554" t="s">
        <v>541</v>
      </c>
      <c r="B19" s="554"/>
      <c r="C19" s="554"/>
      <c r="D19" s="554"/>
      <c r="E19" s="550"/>
      <c r="F19" s="550"/>
      <c r="G19" s="17"/>
      <c r="H19" s="17"/>
      <c r="I19" s="17"/>
      <c r="J19" s="17"/>
      <c r="K19" s="17"/>
      <c r="L19" s="17"/>
      <c r="M19" s="17"/>
      <c r="N19" s="17"/>
      <c r="O19" s="17"/>
      <c r="P19" s="17"/>
      <c r="Q19" s="17"/>
      <c r="R19" s="17"/>
      <c r="S19" s="17"/>
      <c r="T19" s="17"/>
      <c r="U19" s="17"/>
      <c r="V19" s="17"/>
      <c r="W19" s="17"/>
      <c r="X19" s="17"/>
      <c r="Y19" s="17"/>
      <c r="Z19" s="17"/>
      <c r="AA19" s="17"/>
      <c r="AB19" s="17"/>
      <c r="AD19" s="570" t="s">
        <v>750</v>
      </c>
    </row>
    <row r="20" spans="1:30" x14ac:dyDescent="0.2">
      <c r="A20" s="554"/>
      <c r="B20" s="554" t="s">
        <v>304</v>
      </c>
      <c r="C20" s="554"/>
      <c r="D20" s="554"/>
      <c r="E20" s="557"/>
      <c r="F20" s="550"/>
      <c r="G20" s="811"/>
      <c r="H20" s="811">
        <v>4745038</v>
      </c>
      <c r="I20" s="811">
        <v>35085366</v>
      </c>
      <c r="J20" s="811">
        <v>17870108</v>
      </c>
      <c r="K20" s="811">
        <v>0</v>
      </c>
      <c r="L20" s="811">
        <v>148543870</v>
      </c>
      <c r="M20" s="811">
        <v>17072627</v>
      </c>
      <c r="N20" s="811">
        <v>18008574</v>
      </c>
      <c r="O20" s="811">
        <v>475561</v>
      </c>
      <c r="P20" s="811">
        <v>8897503</v>
      </c>
      <c r="Q20" s="811">
        <v>16252770</v>
      </c>
      <c r="R20" s="1122">
        <f>0+32948</f>
        <v>32948</v>
      </c>
      <c r="S20" s="811">
        <v>56504812</v>
      </c>
      <c r="T20" s="811">
        <v>458067</v>
      </c>
      <c r="U20" s="811">
        <v>637327</v>
      </c>
      <c r="V20" s="811">
        <v>17562241</v>
      </c>
      <c r="W20" s="1125">
        <f>36084655-7918945</f>
        <v>28165710</v>
      </c>
      <c r="X20" s="811">
        <v>0</v>
      </c>
      <c r="Y20" s="811">
        <v>64787257</v>
      </c>
      <c r="Z20" s="811">
        <v>16317744</v>
      </c>
      <c r="AA20" s="811">
        <v>31445000</v>
      </c>
      <c r="AB20" s="811">
        <v>76368161</v>
      </c>
      <c r="AD20" s="617">
        <f>SUM(H20:AC20)</f>
        <v>559230684</v>
      </c>
    </row>
    <row r="21" spans="1:30" x14ac:dyDescent="0.2">
      <c r="A21" s="554"/>
      <c r="B21" s="554" t="s">
        <v>305</v>
      </c>
      <c r="C21" s="554"/>
      <c r="D21" s="554"/>
      <c r="E21" s="557"/>
      <c r="F21" s="550"/>
      <c r="G21" s="811"/>
      <c r="H21" s="811">
        <v>67803</v>
      </c>
      <c r="I21" s="811">
        <v>903702</v>
      </c>
      <c r="J21" s="811">
        <v>0</v>
      </c>
      <c r="K21" s="811">
        <v>0</v>
      </c>
      <c r="L21" s="811">
        <v>19705</v>
      </c>
      <c r="M21" s="811">
        <v>105655</v>
      </c>
      <c r="N21" s="811">
        <v>0</v>
      </c>
      <c r="O21" s="811">
        <v>6228</v>
      </c>
      <c r="P21" s="1119">
        <f>12177797-1622074</f>
        <v>10555723</v>
      </c>
      <c r="Q21" s="811">
        <v>9671049</v>
      </c>
      <c r="R21" s="811">
        <v>0</v>
      </c>
      <c r="S21" s="811">
        <v>0</v>
      </c>
      <c r="T21" s="811">
        <v>0</v>
      </c>
      <c r="U21" s="811">
        <v>12333</v>
      </c>
      <c r="V21" s="811">
        <v>41620673</v>
      </c>
      <c r="W21" s="811">
        <v>0</v>
      </c>
      <c r="X21" s="811">
        <v>0</v>
      </c>
      <c r="Y21" s="811">
        <v>770</v>
      </c>
      <c r="Z21" s="1125">
        <f>0+6999</f>
        <v>6999</v>
      </c>
      <c r="AA21" s="811">
        <v>0</v>
      </c>
      <c r="AB21" s="811">
        <v>5622922</v>
      </c>
      <c r="AD21" s="617">
        <f>SUM(H21:AC21)</f>
        <v>68593562</v>
      </c>
    </row>
    <row r="22" spans="1:30" x14ac:dyDescent="0.2">
      <c r="A22" s="554"/>
      <c r="B22" s="545" t="s">
        <v>993</v>
      </c>
      <c r="C22" s="554"/>
      <c r="D22" s="554"/>
      <c r="E22" s="557"/>
      <c r="F22" s="558" t="s">
        <v>402</v>
      </c>
      <c r="G22" s="811"/>
      <c r="H22" s="811">
        <v>212365</v>
      </c>
      <c r="I22" s="811">
        <v>7156</v>
      </c>
      <c r="J22" s="811">
        <v>0</v>
      </c>
      <c r="K22" s="811">
        <v>0</v>
      </c>
      <c r="L22" s="811">
        <v>0</v>
      </c>
      <c r="M22" s="811">
        <v>0</v>
      </c>
      <c r="N22" s="811">
        <v>0</v>
      </c>
      <c r="O22" s="811">
        <v>1583914</v>
      </c>
      <c r="P22" s="811">
        <v>310249</v>
      </c>
      <c r="Q22" s="811">
        <v>0</v>
      </c>
      <c r="R22" s="1122">
        <f>32948-32948</f>
        <v>0</v>
      </c>
      <c r="S22" s="811">
        <v>0</v>
      </c>
      <c r="T22" s="811">
        <v>19030</v>
      </c>
      <c r="U22" s="811">
        <v>0</v>
      </c>
      <c r="V22" s="811">
        <v>0</v>
      </c>
      <c r="W22" s="1125">
        <f>0+7918945</f>
        <v>7918945</v>
      </c>
      <c r="X22" s="811">
        <v>0</v>
      </c>
      <c r="Y22" s="1125">
        <f>0+211924</f>
        <v>211924</v>
      </c>
      <c r="Z22" s="811">
        <v>0</v>
      </c>
      <c r="AA22" s="811">
        <v>0</v>
      </c>
      <c r="AB22" s="811">
        <v>0</v>
      </c>
      <c r="AD22" s="617">
        <f>SUM(H22:AC22)</f>
        <v>10263583</v>
      </c>
    </row>
    <row r="23" spans="1:30" x14ac:dyDescent="0.2">
      <c r="A23" s="545" t="s">
        <v>1304</v>
      </c>
      <c r="B23" s="554"/>
      <c r="C23" s="554"/>
      <c r="D23" s="554"/>
      <c r="E23" s="550"/>
      <c r="F23" s="550"/>
      <c r="G23" s="209"/>
      <c r="H23" s="209"/>
      <c r="I23" s="209"/>
      <c r="J23" s="209"/>
      <c r="K23" s="209"/>
      <c r="L23" s="209"/>
      <c r="M23" s="209"/>
      <c r="N23" s="209"/>
      <c r="O23" s="209"/>
      <c r="P23" s="209"/>
      <c r="Q23" s="209"/>
      <c r="R23" s="209"/>
      <c r="S23" s="209"/>
      <c r="T23" s="209"/>
      <c r="U23" s="209"/>
      <c r="V23" s="209"/>
      <c r="W23" s="209"/>
      <c r="X23" s="209"/>
      <c r="Y23" s="209"/>
      <c r="Z23" s="209"/>
      <c r="AA23" s="209"/>
      <c r="AB23" s="209"/>
    </row>
    <row r="24" spans="1:30" x14ac:dyDescent="0.2">
      <c r="A24" s="554"/>
      <c r="B24" s="554" t="s">
        <v>306</v>
      </c>
      <c r="C24" s="554"/>
      <c r="D24" s="554"/>
      <c r="E24" s="557"/>
      <c r="F24" s="550"/>
      <c r="G24" s="192"/>
      <c r="H24" s="192">
        <v>546929</v>
      </c>
      <c r="I24" s="192">
        <v>14461384</v>
      </c>
      <c r="J24" s="192">
        <v>17394704</v>
      </c>
      <c r="K24" s="192">
        <v>566027</v>
      </c>
      <c r="L24" s="192">
        <v>3900</v>
      </c>
      <c r="M24" s="192">
        <v>4065573</v>
      </c>
      <c r="N24" s="192">
        <v>940360</v>
      </c>
      <c r="O24" s="192">
        <v>0</v>
      </c>
      <c r="P24" s="192">
        <v>1387261</v>
      </c>
      <c r="Q24" s="192">
        <v>10490108</v>
      </c>
      <c r="R24" s="192">
        <v>0</v>
      </c>
      <c r="S24" s="192">
        <v>4619720</v>
      </c>
      <c r="T24" s="192">
        <v>0</v>
      </c>
      <c r="U24" s="192">
        <v>0</v>
      </c>
      <c r="V24" s="192">
        <v>0</v>
      </c>
      <c r="W24" s="192">
        <v>1963944</v>
      </c>
      <c r="X24" s="192">
        <v>0</v>
      </c>
      <c r="Y24" s="192">
        <v>9902776</v>
      </c>
      <c r="Z24" s="192">
        <v>9340</v>
      </c>
      <c r="AA24" s="192">
        <v>31072000</v>
      </c>
      <c r="AB24" s="192">
        <v>5921824</v>
      </c>
      <c r="AD24" s="617">
        <f>SUM(H24:AB24)</f>
        <v>103345850</v>
      </c>
    </row>
    <row r="25" spans="1:30" x14ac:dyDescent="0.2">
      <c r="A25" s="554"/>
      <c r="B25" s="554" t="s">
        <v>307</v>
      </c>
      <c r="C25" s="554"/>
      <c r="D25" s="554"/>
      <c r="E25" s="557"/>
      <c r="F25" s="550"/>
      <c r="G25" s="192"/>
      <c r="H25" s="192">
        <v>1625</v>
      </c>
      <c r="I25" s="192">
        <v>472524</v>
      </c>
      <c r="J25" s="192">
        <v>2479402</v>
      </c>
      <c r="K25" s="192">
        <v>0</v>
      </c>
      <c r="L25" s="192">
        <v>2637451</v>
      </c>
      <c r="M25" s="192">
        <v>0</v>
      </c>
      <c r="N25" s="192">
        <v>0</v>
      </c>
      <c r="O25" s="192">
        <v>0</v>
      </c>
      <c r="P25" s="192">
        <v>0</v>
      </c>
      <c r="Q25" s="192">
        <v>0</v>
      </c>
      <c r="R25" s="192">
        <v>0</v>
      </c>
      <c r="S25" s="192">
        <v>1744993</v>
      </c>
      <c r="T25" s="192">
        <v>0</v>
      </c>
      <c r="U25" s="192">
        <v>0</v>
      </c>
      <c r="V25" s="192">
        <v>0</v>
      </c>
      <c r="W25" s="192">
        <v>9320467</v>
      </c>
      <c r="X25" s="192">
        <v>0</v>
      </c>
      <c r="Y25" s="192">
        <v>7864815</v>
      </c>
      <c r="Z25" s="192">
        <v>0</v>
      </c>
      <c r="AA25" s="192">
        <v>15417000</v>
      </c>
      <c r="AB25" s="192">
        <v>1255004</v>
      </c>
      <c r="AD25" s="617">
        <f>SUM(H25:AB25)</f>
        <v>41193281</v>
      </c>
    </row>
    <row r="26" spans="1:30" x14ac:dyDescent="0.2">
      <c r="A26" s="554"/>
      <c r="B26" s="554" t="s">
        <v>308</v>
      </c>
      <c r="C26" s="554"/>
      <c r="D26" s="554"/>
      <c r="E26" s="557"/>
      <c r="F26" s="550"/>
      <c r="G26" s="192"/>
      <c r="H26" s="192">
        <v>0</v>
      </c>
      <c r="I26" s="192">
        <v>0</v>
      </c>
      <c r="J26" s="192">
        <v>0</v>
      </c>
      <c r="K26" s="192">
        <v>0</v>
      </c>
      <c r="L26" s="192">
        <v>0</v>
      </c>
      <c r="M26" s="192">
        <v>0</v>
      </c>
      <c r="N26" s="192">
        <v>0</v>
      </c>
      <c r="O26" s="192">
        <v>0</v>
      </c>
      <c r="P26" s="192">
        <v>0</v>
      </c>
      <c r="Q26" s="192">
        <v>0</v>
      </c>
      <c r="R26" s="192">
        <v>0</v>
      </c>
      <c r="S26" s="192">
        <v>0</v>
      </c>
      <c r="T26" s="192">
        <v>0</v>
      </c>
      <c r="U26" s="192">
        <v>0</v>
      </c>
      <c r="V26" s="192">
        <v>0</v>
      </c>
      <c r="W26" s="192">
        <v>0</v>
      </c>
      <c r="X26" s="192">
        <v>0</v>
      </c>
      <c r="Y26" s="192">
        <v>70035</v>
      </c>
      <c r="Z26" s="192">
        <v>0</v>
      </c>
      <c r="AA26" s="192">
        <v>0</v>
      </c>
      <c r="AB26" s="192">
        <v>0</v>
      </c>
      <c r="AD26" s="617">
        <f>SUM(H26:AB26)</f>
        <v>70035</v>
      </c>
    </row>
    <row r="27" spans="1:30" x14ac:dyDescent="0.2">
      <c r="A27" s="554"/>
      <c r="B27" s="554" t="s">
        <v>309</v>
      </c>
      <c r="C27" s="554"/>
      <c r="D27" s="554"/>
      <c r="E27" s="557"/>
      <c r="F27" s="550"/>
      <c r="G27" s="192"/>
      <c r="H27" s="192">
        <v>0</v>
      </c>
      <c r="I27" s="192">
        <v>0</v>
      </c>
      <c r="J27" s="192">
        <v>0</v>
      </c>
      <c r="K27" s="192">
        <v>0</v>
      </c>
      <c r="L27" s="192">
        <v>0</v>
      </c>
      <c r="M27" s="192">
        <v>0</v>
      </c>
      <c r="N27" s="192">
        <v>0</v>
      </c>
      <c r="O27" s="192">
        <v>0</v>
      </c>
      <c r="P27" s="192">
        <v>0</v>
      </c>
      <c r="Q27" s="192">
        <v>0</v>
      </c>
      <c r="R27" s="192">
        <v>0</v>
      </c>
      <c r="S27" s="192">
        <v>0</v>
      </c>
      <c r="T27" s="192">
        <v>0</v>
      </c>
      <c r="U27" s="192">
        <v>0</v>
      </c>
      <c r="V27" s="192">
        <v>0</v>
      </c>
      <c r="W27" s="192">
        <v>0</v>
      </c>
      <c r="X27" s="192">
        <v>0</v>
      </c>
      <c r="Y27" s="192">
        <v>0</v>
      </c>
      <c r="Z27" s="192">
        <v>0</v>
      </c>
      <c r="AA27" s="192">
        <v>0</v>
      </c>
      <c r="AB27" s="192">
        <v>0</v>
      </c>
      <c r="AD27" s="617">
        <f>SUM(H27:AB27)</f>
        <v>0</v>
      </c>
    </row>
    <row r="28" spans="1:30" x14ac:dyDescent="0.2">
      <c r="A28" s="554"/>
      <c r="B28" s="554"/>
      <c r="C28" s="554"/>
      <c r="D28" s="554"/>
      <c r="E28" s="550"/>
      <c r="F28" s="550"/>
      <c r="G28" s="209"/>
      <c r="H28" s="209"/>
      <c r="I28" s="209"/>
      <c r="J28" s="209"/>
      <c r="K28" s="209"/>
      <c r="L28" s="209"/>
      <c r="M28" s="209"/>
      <c r="N28" s="209"/>
      <c r="O28" s="209"/>
      <c r="P28" s="209"/>
      <c r="Q28" s="209"/>
      <c r="R28" s="209"/>
      <c r="S28" s="209"/>
      <c r="T28" s="209"/>
      <c r="U28" s="209"/>
      <c r="V28" s="209"/>
      <c r="W28" s="209"/>
      <c r="X28" s="209"/>
      <c r="Y28" s="209"/>
      <c r="Z28" s="209"/>
      <c r="AA28" s="209"/>
      <c r="AB28" s="209"/>
    </row>
    <row r="29" spans="1:30" x14ac:dyDescent="0.2">
      <c r="A29" s="554"/>
      <c r="B29" s="554"/>
      <c r="C29" s="554"/>
      <c r="D29" s="554"/>
      <c r="E29" s="550"/>
      <c r="F29" s="550"/>
      <c r="G29" s="12"/>
      <c r="H29" s="12"/>
      <c r="I29" s="12"/>
      <c r="J29" s="12"/>
      <c r="K29" s="12"/>
      <c r="L29" s="12"/>
      <c r="M29" s="12"/>
      <c r="N29" s="12"/>
      <c r="O29" s="12"/>
      <c r="P29" s="12"/>
      <c r="Q29" s="12"/>
      <c r="R29" s="12"/>
      <c r="S29" s="12"/>
      <c r="T29" s="12"/>
      <c r="U29" s="12"/>
      <c r="V29" s="12"/>
      <c r="W29" s="12"/>
      <c r="X29" s="12"/>
      <c r="Y29" s="12"/>
      <c r="Z29" s="12"/>
      <c r="AA29" s="12"/>
      <c r="AB29" s="12"/>
    </row>
    <row r="30" spans="1:30" x14ac:dyDescent="0.2">
      <c r="A30" s="556" t="s">
        <v>1392</v>
      </c>
      <c r="B30" s="554"/>
      <c r="C30" s="554"/>
      <c r="D30" s="554"/>
      <c r="E30" s="550"/>
      <c r="F30" s="555"/>
      <c r="G30" s="858"/>
      <c r="H30" s="858">
        <v>1618515</v>
      </c>
      <c r="I30" s="858">
        <v>28410673</v>
      </c>
      <c r="J30" s="858">
        <v>120994084</v>
      </c>
      <c r="K30" s="858">
        <v>6369467</v>
      </c>
      <c r="L30" s="858">
        <v>13735127</v>
      </c>
      <c r="M30" s="1121">
        <f>2478040+1052595</f>
        <v>3530635</v>
      </c>
      <c r="N30" s="858">
        <v>3251705</v>
      </c>
      <c r="O30" s="858">
        <v>0</v>
      </c>
      <c r="P30" s="1121">
        <f>33670994-18028140</f>
        <v>15642854</v>
      </c>
      <c r="Q30" s="858">
        <v>28391571</v>
      </c>
      <c r="R30" s="858">
        <v>3120403</v>
      </c>
      <c r="S30" s="858">
        <v>4538599</v>
      </c>
      <c r="T30" s="858">
        <v>172189</v>
      </c>
      <c r="U30" s="858">
        <v>4768132</v>
      </c>
      <c r="V30" s="1124">
        <f>835283687-140616-234187569-9467526</f>
        <v>591487976</v>
      </c>
      <c r="W30" s="1127">
        <f>166315486-65155764</f>
        <v>101159722</v>
      </c>
      <c r="X30" s="858">
        <v>487946437</v>
      </c>
      <c r="Y30" s="858">
        <v>28386111</v>
      </c>
      <c r="Z30" s="858">
        <v>5137018</v>
      </c>
      <c r="AA30" s="1127">
        <f>144878000-352000</f>
        <v>144526000</v>
      </c>
      <c r="AB30" s="858">
        <v>13175742</v>
      </c>
    </row>
    <row r="31" spans="1:30" x14ac:dyDescent="0.2">
      <c r="A31" s="556" t="s">
        <v>745</v>
      </c>
      <c r="B31" s="554"/>
      <c r="C31" s="554"/>
      <c r="D31" s="554"/>
      <c r="E31" s="549"/>
      <c r="F31" s="555"/>
      <c r="G31" s="194"/>
      <c r="H31" s="194"/>
      <c r="I31" s="194"/>
      <c r="J31" s="194"/>
      <c r="K31" s="194"/>
      <c r="L31" s="194"/>
      <c r="M31" s="194"/>
      <c r="N31" s="194"/>
      <c r="O31" s="194"/>
      <c r="P31" s="194"/>
      <c r="Q31" s="194"/>
      <c r="R31" s="194"/>
      <c r="S31" s="194"/>
      <c r="T31" s="194"/>
      <c r="U31" s="194"/>
      <c r="V31" s="194"/>
      <c r="W31" s="194"/>
      <c r="X31" s="194"/>
      <c r="Y31" s="194"/>
      <c r="Z31" s="194"/>
      <c r="AA31" s="194"/>
      <c r="AB31" s="194"/>
    </row>
    <row r="32" spans="1:30" x14ac:dyDescent="0.2">
      <c r="A32" s="556" t="s">
        <v>91</v>
      </c>
      <c r="B32" s="554"/>
      <c r="C32" s="554"/>
      <c r="D32" s="554"/>
      <c r="E32" s="550"/>
      <c r="F32" s="550"/>
      <c r="G32" s="811"/>
      <c r="H32" s="811">
        <v>0</v>
      </c>
      <c r="I32" s="811">
        <v>0</v>
      </c>
      <c r="J32" s="811">
        <v>0</v>
      </c>
      <c r="K32" s="811">
        <v>0</v>
      </c>
      <c r="L32" s="811">
        <v>0</v>
      </c>
      <c r="M32" s="1119">
        <f>1052595-1052595</f>
        <v>0</v>
      </c>
      <c r="N32" s="811">
        <v>0</v>
      </c>
      <c r="O32" s="811">
        <v>0</v>
      </c>
      <c r="P32" s="811">
        <v>0</v>
      </c>
      <c r="Q32" s="811">
        <v>0</v>
      </c>
      <c r="R32" s="811">
        <v>0</v>
      </c>
      <c r="S32" s="811">
        <v>0</v>
      </c>
      <c r="T32" s="811">
        <v>0</v>
      </c>
      <c r="U32" s="811">
        <v>0</v>
      </c>
      <c r="V32" s="811">
        <v>119780175</v>
      </c>
      <c r="W32" s="811">
        <v>0</v>
      </c>
      <c r="X32" s="811">
        <v>0</v>
      </c>
      <c r="Y32" s="811">
        <v>0</v>
      </c>
      <c r="Z32" s="811">
        <v>0</v>
      </c>
      <c r="AA32" s="811">
        <v>0</v>
      </c>
      <c r="AB32" s="811">
        <v>0</v>
      </c>
    </row>
    <row r="33" spans="1:28" x14ac:dyDescent="0.2">
      <c r="A33" s="554" t="s">
        <v>517</v>
      </c>
      <c r="B33" s="554"/>
      <c r="C33" s="554"/>
      <c r="D33" s="554"/>
      <c r="E33" s="550"/>
      <c r="F33" s="550"/>
      <c r="G33" s="194"/>
      <c r="H33" s="194"/>
      <c r="I33" s="194"/>
      <c r="J33" s="194"/>
      <c r="K33" s="194"/>
      <c r="L33" s="194"/>
      <c r="M33" s="194"/>
      <c r="N33" s="194"/>
      <c r="O33" s="194"/>
      <c r="P33" s="194"/>
      <c r="Q33" s="194"/>
      <c r="R33" s="194"/>
      <c r="S33" s="194"/>
      <c r="T33" s="194"/>
      <c r="U33" s="194"/>
      <c r="V33" s="194"/>
      <c r="W33" s="194"/>
      <c r="X33" s="194"/>
      <c r="Y33" s="194"/>
      <c r="Z33" s="194"/>
      <c r="AA33" s="194"/>
      <c r="AB33" s="194"/>
    </row>
    <row r="34" spans="1:28" x14ac:dyDescent="0.2">
      <c r="A34" s="554" t="s">
        <v>461</v>
      </c>
      <c r="B34" s="554"/>
      <c r="C34" s="554"/>
      <c r="D34" s="554"/>
      <c r="E34" s="550"/>
      <c r="F34" s="550"/>
      <c r="G34" s="858"/>
      <c r="H34" s="858">
        <v>0</v>
      </c>
      <c r="I34" s="858">
        <v>0</v>
      </c>
      <c r="J34" s="858">
        <v>0</v>
      </c>
      <c r="K34" s="858">
        <v>0</v>
      </c>
      <c r="L34" s="858">
        <v>364013</v>
      </c>
      <c r="M34" s="858">
        <v>0</v>
      </c>
      <c r="N34" s="858">
        <v>3082870</v>
      </c>
      <c r="O34" s="858">
        <v>0</v>
      </c>
      <c r="P34" s="858">
        <v>0</v>
      </c>
      <c r="Q34" s="858">
        <v>0</v>
      </c>
      <c r="R34" s="858">
        <v>36433</v>
      </c>
      <c r="S34" s="858">
        <v>340497</v>
      </c>
      <c r="T34" s="858">
        <v>0</v>
      </c>
      <c r="U34" s="858">
        <v>0</v>
      </c>
      <c r="V34" s="858">
        <v>0</v>
      </c>
      <c r="W34" s="858">
        <v>127497102</v>
      </c>
      <c r="X34" s="858">
        <v>0</v>
      </c>
      <c r="Y34" s="858">
        <v>651445</v>
      </c>
      <c r="Z34" s="858">
        <v>0</v>
      </c>
      <c r="AA34" s="858">
        <v>0</v>
      </c>
      <c r="AB34" s="858">
        <v>2251429</v>
      </c>
    </row>
    <row r="35" spans="1:28" x14ac:dyDescent="0.2">
      <c r="A35" s="554"/>
      <c r="B35" s="554"/>
      <c r="C35" s="554"/>
      <c r="D35" s="554"/>
      <c r="E35" s="550"/>
      <c r="F35" s="550"/>
      <c r="G35" s="12"/>
      <c r="H35" s="12"/>
      <c r="I35" s="12"/>
      <c r="J35" s="12"/>
      <c r="K35" s="12"/>
      <c r="L35" s="12"/>
      <c r="M35" s="12"/>
      <c r="N35" s="12"/>
      <c r="O35" s="12"/>
      <c r="P35" s="12"/>
      <c r="Q35" s="12"/>
      <c r="R35" s="12"/>
      <c r="S35" s="12"/>
      <c r="T35" s="12"/>
      <c r="U35" s="12"/>
      <c r="V35" s="12"/>
      <c r="W35" s="12"/>
      <c r="X35" s="12"/>
      <c r="Y35" s="12"/>
      <c r="Z35" s="12"/>
      <c r="AA35" s="12"/>
      <c r="AB35" s="12"/>
    </row>
    <row r="36" spans="1:28" x14ac:dyDescent="0.2">
      <c r="A36" s="556" t="s">
        <v>766</v>
      </c>
      <c r="B36" s="554"/>
      <c r="C36" s="554"/>
      <c r="D36" s="554"/>
      <c r="E36" s="550"/>
      <c r="F36" s="555"/>
      <c r="G36" s="192"/>
      <c r="H36" s="192">
        <v>197496</v>
      </c>
      <c r="I36" s="192">
        <v>807227</v>
      </c>
      <c r="J36" s="192">
        <v>1160922</v>
      </c>
      <c r="K36" s="192">
        <v>0</v>
      </c>
      <c r="L36" s="192">
        <v>1369419</v>
      </c>
      <c r="M36" s="192">
        <v>605188</v>
      </c>
      <c r="N36" s="192">
        <v>156057</v>
      </c>
      <c r="O36" s="192">
        <v>0</v>
      </c>
      <c r="P36" s="192">
        <v>0</v>
      </c>
      <c r="Q36" s="192">
        <v>466793</v>
      </c>
      <c r="R36" s="192">
        <v>0</v>
      </c>
      <c r="S36" s="192">
        <v>693676</v>
      </c>
      <c r="T36" s="192">
        <v>0</v>
      </c>
      <c r="U36" s="192">
        <v>0</v>
      </c>
      <c r="V36" s="192">
        <v>69483796</v>
      </c>
      <c r="W36" s="192">
        <v>617731</v>
      </c>
      <c r="X36" s="192">
        <v>53911991</v>
      </c>
      <c r="Y36" s="192">
        <v>1502451</v>
      </c>
      <c r="Z36" s="192">
        <v>8602616</v>
      </c>
      <c r="AA36" s="192">
        <v>19865000</v>
      </c>
      <c r="AB36" s="192">
        <v>0</v>
      </c>
    </row>
    <row r="37" spans="1:28" x14ac:dyDescent="0.2">
      <c r="A37" s="556" t="s">
        <v>483</v>
      </c>
      <c r="B37" s="554"/>
      <c r="C37" s="554"/>
      <c r="D37" s="554"/>
      <c r="E37" s="550"/>
      <c r="F37" s="550"/>
      <c r="G37" s="192"/>
      <c r="H37" s="192">
        <v>1810256</v>
      </c>
      <c r="I37" s="192">
        <v>4937944</v>
      </c>
      <c r="J37" s="192">
        <v>10674387</v>
      </c>
      <c r="K37" s="192">
        <v>307401</v>
      </c>
      <c r="L37" s="192">
        <v>9320609</v>
      </c>
      <c r="M37" s="192">
        <v>743134</v>
      </c>
      <c r="N37" s="192">
        <v>1364356</v>
      </c>
      <c r="O37" s="192">
        <v>0</v>
      </c>
      <c r="P37" s="192">
        <v>3462182</v>
      </c>
      <c r="Q37" s="192">
        <v>11027290</v>
      </c>
      <c r="R37" s="192">
        <v>57977</v>
      </c>
      <c r="S37" s="192">
        <v>9020744</v>
      </c>
      <c r="T37" s="192">
        <v>0</v>
      </c>
      <c r="U37" s="192">
        <v>0</v>
      </c>
      <c r="V37" s="192">
        <v>25843691</v>
      </c>
      <c r="W37" s="192">
        <v>4122304</v>
      </c>
      <c r="X37" s="192">
        <v>28144212</v>
      </c>
      <c r="Y37" s="192">
        <v>28156462</v>
      </c>
      <c r="Z37" s="192">
        <v>1640706</v>
      </c>
      <c r="AA37" s="192">
        <v>10201000</v>
      </c>
      <c r="AB37" s="192">
        <v>3297915</v>
      </c>
    </row>
    <row r="38" spans="1:28" x14ac:dyDescent="0.2">
      <c r="A38" s="554"/>
      <c r="B38" s="554"/>
      <c r="C38" s="554"/>
      <c r="D38" s="554"/>
      <c r="E38" s="550"/>
      <c r="F38" s="550"/>
      <c r="G38" s="12"/>
      <c r="H38" s="12"/>
      <c r="I38" s="12"/>
      <c r="J38" s="12"/>
      <c r="K38" s="12"/>
      <c r="L38" s="12"/>
      <c r="M38" s="12"/>
      <c r="N38" s="12"/>
      <c r="O38" s="12"/>
      <c r="P38" s="12"/>
      <c r="Q38" s="12"/>
      <c r="R38" s="12"/>
      <c r="S38" s="12"/>
      <c r="T38" s="12"/>
      <c r="U38" s="12"/>
      <c r="V38" s="12"/>
      <c r="W38" s="12"/>
      <c r="X38" s="12"/>
      <c r="Y38" s="12"/>
      <c r="Z38" s="12"/>
      <c r="AA38" s="12"/>
      <c r="AB38" s="12"/>
    </row>
    <row r="39" spans="1:28" x14ac:dyDescent="0.2">
      <c r="A39" s="554" t="s">
        <v>78</v>
      </c>
      <c r="B39" s="554"/>
      <c r="C39" s="554"/>
      <c r="D39" s="554"/>
      <c r="E39" s="550"/>
      <c r="F39" s="550"/>
      <c r="G39" s="192"/>
      <c r="H39" s="192">
        <v>36000</v>
      </c>
      <c r="I39" s="192">
        <v>0</v>
      </c>
      <c r="J39" s="192">
        <v>0</v>
      </c>
      <c r="K39" s="192">
        <v>0</v>
      </c>
      <c r="L39" s="192">
        <v>7920</v>
      </c>
      <c r="M39" s="192">
        <v>0</v>
      </c>
      <c r="N39" s="192">
        <v>0</v>
      </c>
      <c r="O39" s="192">
        <v>0</v>
      </c>
      <c r="P39" s="192">
        <v>0</v>
      </c>
      <c r="Q39" s="192">
        <v>0</v>
      </c>
      <c r="R39" s="192">
        <v>0</v>
      </c>
      <c r="S39" s="192">
        <v>0</v>
      </c>
      <c r="T39" s="192">
        <v>0</v>
      </c>
      <c r="U39" s="192">
        <v>0</v>
      </c>
      <c r="V39" s="192">
        <v>0</v>
      </c>
      <c r="W39" s="192">
        <v>301428</v>
      </c>
      <c r="X39" s="192">
        <v>0</v>
      </c>
      <c r="Y39" s="192">
        <v>0</v>
      </c>
      <c r="Z39" s="192">
        <v>6600</v>
      </c>
      <c r="AA39" s="192">
        <v>0</v>
      </c>
      <c r="AB39" s="192">
        <v>0</v>
      </c>
    </row>
    <row r="40" spans="1:28" x14ac:dyDescent="0.2">
      <c r="A40" s="554" t="s">
        <v>484</v>
      </c>
      <c r="B40" s="554"/>
      <c r="C40" s="554"/>
      <c r="D40" s="554"/>
      <c r="E40" s="550"/>
      <c r="F40" s="550"/>
      <c r="G40" s="192"/>
      <c r="H40" s="192">
        <v>0</v>
      </c>
      <c r="I40" s="192">
        <v>0</v>
      </c>
      <c r="J40" s="192">
        <v>0</v>
      </c>
      <c r="K40" s="192">
        <v>0</v>
      </c>
      <c r="L40" s="192">
        <v>0</v>
      </c>
      <c r="M40" s="192">
        <v>0</v>
      </c>
      <c r="N40" s="192">
        <v>0</v>
      </c>
      <c r="O40" s="192">
        <v>0</v>
      </c>
      <c r="P40" s="192">
        <v>0</v>
      </c>
      <c r="Q40" s="192">
        <v>0</v>
      </c>
      <c r="R40" s="192">
        <v>0</v>
      </c>
      <c r="S40" s="192">
        <v>0</v>
      </c>
      <c r="T40" s="192">
        <v>0</v>
      </c>
      <c r="U40" s="192">
        <v>0</v>
      </c>
      <c r="V40" s="192">
        <v>0</v>
      </c>
      <c r="W40" s="192">
        <v>0</v>
      </c>
      <c r="X40" s="192">
        <v>0</v>
      </c>
      <c r="Y40" s="192">
        <v>0</v>
      </c>
      <c r="Z40" s="192">
        <v>0</v>
      </c>
      <c r="AA40" s="192">
        <v>0</v>
      </c>
      <c r="AB40" s="192">
        <v>0</v>
      </c>
    </row>
    <row r="41" spans="1:28" x14ac:dyDescent="0.2">
      <c r="A41" s="687"/>
      <c r="B41" s="554"/>
      <c r="C41" s="554"/>
      <c r="D41" s="554"/>
      <c r="E41" s="698"/>
      <c r="F41" s="550"/>
      <c r="G41" s="194"/>
      <c r="H41" s="194"/>
      <c r="I41" s="194"/>
      <c r="J41" s="194"/>
      <c r="K41" s="194"/>
      <c r="L41" s="194"/>
      <c r="M41" s="194"/>
      <c r="N41" s="194"/>
      <c r="O41" s="194"/>
      <c r="P41" s="194"/>
      <c r="Q41" s="194"/>
      <c r="R41" s="194"/>
      <c r="S41" s="194"/>
      <c r="T41" s="194"/>
      <c r="U41" s="194"/>
      <c r="V41" s="194"/>
      <c r="W41" s="194"/>
      <c r="X41" s="194"/>
      <c r="Y41" s="194"/>
      <c r="Z41" s="194"/>
      <c r="AA41" s="194"/>
      <c r="AB41" s="194"/>
    </row>
    <row r="42" spans="1:28" x14ac:dyDescent="0.2">
      <c r="A42" s="545" t="s">
        <v>991</v>
      </c>
      <c r="B42" s="554"/>
      <c r="C42" s="554"/>
      <c r="D42" s="554"/>
      <c r="E42" s="550"/>
      <c r="F42" s="550"/>
      <c r="G42" s="811"/>
      <c r="H42" s="811">
        <v>0</v>
      </c>
      <c r="I42" s="811">
        <v>1014804</v>
      </c>
      <c r="J42" s="811">
        <v>0</v>
      </c>
      <c r="K42" s="811">
        <v>0</v>
      </c>
      <c r="L42" s="811">
        <v>0</v>
      </c>
      <c r="M42" s="811">
        <v>0</v>
      </c>
      <c r="N42" s="811">
        <v>0</v>
      </c>
      <c r="O42" s="811">
        <v>0</v>
      </c>
      <c r="P42" s="811">
        <v>0</v>
      </c>
      <c r="Q42" s="811">
        <v>0</v>
      </c>
      <c r="R42" s="811">
        <v>294693</v>
      </c>
      <c r="S42" s="811">
        <v>0</v>
      </c>
      <c r="T42" s="811">
        <v>0</v>
      </c>
      <c r="U42" s="811">
        <v>0</v>
      </c>
      <c r="V42" s="811">
        <v>88799437</v>
      </c>
      <c r="W42" s="811">
        <v>0</v>
      </c>
      <c r="X42" s="811">
        <v>8179525</v>
      </c>
      <c r="Y42" s="811">
        <v>0</v>
      </c>
      <c r="Z42" s="811">
        <v>0</v>
      </c>
      <c r="AA42" s="811">
        <v>0</v>
      </c>
      <c r="AB42" s="811">
        <v>0</v>
      </c>
    </row>
    <row r="43" spans="1:28" x14ac:dyDescent="0.2">
      <c r="A43" s="554"/>
      <c r="B43" s="554"/>
      <c r="C43" s="556" t="s">
        <v>486</v>
      </c>
      <c r="D43" s="554"/>
      <c r="E43" s="550"/>
      <c r="F43" s="550"/>
      <c r="G43" s="15">
        <f>SUM(G39:G42)</f>
        <v>0</v>
      </c>
      <c r="H43" s="15">
        <f t="shared" ref="H43:AB43" si="2">SUM(H39:H42)</f>
        <v>36000</v>
      </c>
      <c r="I43" s="15">
        <f t="shared" si="2"/>
        <v>1014804</v>
      </c>
      <c r="J43" s="15">
        <f t="shared" si="2"/>
        <v>0</v>
      </c>
      <c r="K43" s="15">
        <f t="shared" si="2"/>
        <v>0</v>
      </c>
      <c r="L43" s="15">
        <f t="shared" si="2"/>
        <v>7920</v>
      </c>
      <c r="M43" s="15">
        <f t="shared" si="2"/>
        <v>0</v>
      </c>
      <c r="N43" s="15">
        <f t="shared" si="2"/>
        <v>0</v>
      </c>
      <c r="O43" s="15">
        <f t="shared" si="2"/>
        <v>0</v>
      </c>
      <c r="P43" s="15">
        <f t="shared" si="2"/>
        <v>0</v>
      </c>
      <c r="Q43" s="15">
        <f t="shared" si="2"/>
        <v>0</v>
      </c>
      <c r="R43" s="15">
        <f t="shared" si="2"/>
        <v>294693</v>
      </c>
      <c r="S43" s="15">
        <f t="shared" si="2"/>
        <v>0</v>
      </c>
      <c r="T43" s="15">
        <f t="shared" si="2"/>
        <v>0</v>
      </c>
      <c r="U43" s="15">
        <f t="shared" si="2"/>
        <v>0</v>
      </c>
      <c r="V43" s="15">
        <f t="shared" si="2"/>
        <v>88799437</v>
      </c>
      <c r="W43" s="15">
        <f t="shared" si="2"/>
        <v>301428</v>
      </c>
      <c r="X43" s="15">
        <f t="shared" si="2"/>
        <v>8179525</v>
      </c>
      <c r="Y43" s="15">
        <f t="shared" si="2"/>
        <v>0</v>
      </c>
      <c r="Z43" s="15">
        <f t="shared" si="2"/>
        <v>6600</v>
      </c>
      <c r="AA43" s="15">
        <f t="shared" si="2"/>
        <v>0</v>
      </c>
      <c r="AB43" s="15">
        <f t="shared" si="2"/>
        <v>0</v>
      </c>
    </row>
    <row r="44" spans="1:28" x14ac:dyDescent="0.2">
      <c r="A44" s="554"/>
      <c r="B44" s="554"/>
      <c r="C44" s="554"/>
      <c r="D44" s="554"/>
      <c r="E44" s="550"/>
      <c r="F44" s="550"/>
      <c r="G44" s="17"/>
      <c r="H44" s="17"/>
      <c r="I44" s="17"/>
      <c r="J44" s="17"/>
      <c r="K44" s="17"/>
      <c r="L44" s="17"/>
      <c r="M44" s="17"/>
      <c r="N44" s="17"/>
      <c r="O44" s="17"/>
      <c r="P44" s="17"/>
      <c r="Q44" s="17"/>
      <c r="R44" s="17"/>
      <c r="S44" s="17"/>
      <c r="T44" s="17"/>
      <c r="U44" s="17"/>
      <c r="V44" s="17"/>
      <c r="W44" s="17"/>
      <c r="X44" s="17"/>
      <c r="Y44" s="17"/>
      <c r="Z44" s="17"/>
      <c r="AA44" s="17"/>
      <c r="AB44" s="17"/>
    </row>
    <row r="45" spans="1:28" x14ac:dyDescent="0.2">
      <c r="A45" s="556" t="s">
        <v>349</v>
      </c>
      <c r="B45" s="554"/>
      <c r="C45" s="554"/>
      <c r="D45" s="554"/>
      <c r="E45" s="550"/>
      <c r="F45" s="550"/>
      <c r="G45" s="192"/>
      <c r="H45" s="192">
        <v>0</v>
      </c>
      <c r="I45" s="192">
        <v>0</v>
      </c>
      <c r="J45" s="192">
        <v>0</v>
      </c>
      <c r="K45" s="192">
        <v>0</v>
      </c>
      <c r="L45" s="192">
        <v>0</v>
      </c>
      <c r="M45" s="192">
        <v>0</v>
      </c>
      <c r="N45" s="192">
        <v>0</v>
      </c>
      <c r="O45" s="192">
        <v>0</v>
      </c>
      <c r="P45" s="192">
        <v>0</v>
      </c>
      <c r="Q45" s="192">
        <v>0</v>
      </c>
      <c r="R45" s="192">
        <v>0</v>
      </c>
      <c r="S45" s="192">
        <v>0</v>
      </c>
      <c r="T45" s="192">
        <v>0</v>
      </c>
      <c r="U45" s="192">
        <v>0</v>
      </c>
      <c r="V45" s="192">
        <v>0</v>
      </c>
      <c r="W45" s="192">
        <v>0</v>
      </c>
      <c r="X45" s="192">
        <v>0</v>
      </c>
      <c r="Y45" s="192">
        <v>0</v>
      </c>
      <c r="Z45" s="192">
        <v>0</v>
      </c>
      <c r="AA45" s="192">
        <v>0</v>
      </c>
      <c r="AB45" s="192">
        <v>0</v>
      </c>
    </row>
    <row r="46" spans="1:28" x14ac:dyDescent="0.2">
      <c r="A46" s="556" t="s">
        <v>350</v>
      </c>
      <c r="B46" s="554"/>
      <c r="C46" s="554"/>
      <c r="D46" s="554"/>
      <c r="E46" s="550"/>
      <c r="F46" s="550"/>
      <c r="G46" s="192"/>
      <c r="H46" s="192">
        <v>0</v>
      </c>
      <c r="I46" s="192">
        <v>0</v>
      </c>
      <c r="J46" s="192">
        <v>0</v>
      </c>
      <c r="K46" s="192">
        <v>0</v>
      </c>
      <c r="L46" s="192">
        <v>0</v>
      </c>
      <c r="M46" s="192">
        <v>0</v>
      </c>
      <c r="N46" s="192">
        <v>0</v>
      </c>
      <c r="O46" s="192">
        <v>0</v>
      </c>
      <c r="P46" s="192">
        <v>0</v>
      </c>
      <c r="Q46" s="192">
        <v>0</v>
      </c>
      <c r="R46" s="192">
        <v>0</v>
      </c>
      <c r="S46" s="192">
        <v>0</v>
      </c>
      <c r="T46" s="192">
        <v>0</v>
      </c>
      <c r="U46" s="192">
        <v>0</v>
      </c>
      <c r="V46" s="192">
        <v>0</v>
      </c>
      <c r="W46" s="192">
        <v>0</v>
      </c>
      <c r="X46" s="192">
        <v>0</v>
      </c>
      <c r="Y46" s="192">
        <v>0</v>
      </c>
      <c r="Z46" s="192">
        <v>0</v>
      </c>
      <c r="AA46" s="192">
        <v>0</v>
      </c>
      <c r="AB46" s="192">
        <v>0</v>
      </c>
    </row>
    <row r="47" spans="1:28" x14ac:dyDescent="0.2">
      <c r="A47" s="554"/>
      <c r="B47" s="554"/>
      <c r="C47" s="556"/>
      <c r="D47" s="554"/>
      <c r="E47" s="550"/>
      <c r="F47" s="550"/>
      <c r="G47" s="17"/>
      <c r="H47" s="17"/>
      <c r="I47" s="17"/>
      <c r="J47" s="17"/>
      <c r="K47" s="17"/>
      <c r="L47" s="17"/>
      <c r="M47" s="17"/>
      <c r="N47" s="17"/>
      <c r="O47" s="17"/>
      <c r="P47" s="17"/>
      <c r="Q47" s="17"/>
      <c r="R47" s="17"/>
      <c r="S47" s="17"/>
      <c r="T47" s="17"/>
      <c r="U47" s="17"/>
      <c r="V47" s="17"/>
      <c r="W47" s="17"/>
      <c r="X47" s="17"/>
      <c r="Y47" s="17"/>
      <c r="Z47" s="17"/>
      <c r="AA47" s="17"/>
      <c r="AB47" s="17"/>
    </row>
    <row r="48" spans="1:28" x14ac:dyDescent="0.2">
      <c r="A48" s="554"/>
      <c r="B48" s="554"/>
      <c r="C48" s="554"/>
      <c r="D48" s="554"/>
      <c r="E48" s="550"/>
      <c r="F48" s="550"/>
      <c r="G48" s="17"/>
      <c r="H48" s="17"/>
      <c r="I48" s="17"/>
      <c r="J48" s="17"/>
      <c r="K48" s="17"/>
      <c r="L48" s="17"/>
      <c r="M48" s="17"/>
      <c r="N48" s="17"/>
      <c r="O48" s="17"/>
      <c r="P48" s="17"/>
      <c r="Q48" s="17"/>
      <c r="R48" s="17"/>
      <c r="S48" s="17"/>
      <c r="T48" s="17"/>
      <c r="U48" s="17"/>
      <c r="V48" s="17"/>
      <c r="W48" s="17"/>
      <c r="X48" s="17"/>
      <c r="Y48" s="17"/>
      <c r="Z48" s="17"/>
      <c r="AA48" s="17"/>
      <c r="AB48" s="17"/>
    </row>
    <row r="49" spans="1:28" x14ac:dyDescent="0.2">
      <c r="A49" s="554" t="s">
        <v>355</v>
      </c>
      <c r="B49" s="554"/>
      <c r="C49" s="554"/>
      <c r="D49" s="554"/>
      <c r="E49" s="554"/>
      <c r="F49" s="555"/>
      <c r="G49" s="811"/>
      <c r="H49" s="811">
        <v>0</v>
      </c>
      <c r="I49" s="811">
        <v>0</v>
      </c>
      <c r="J49" s="811">
        <v>10437690</v>
      </c>
      <c r="K49" s="811">
        <v>0</v>
      </c>
      <c r="L49" s="811">
        <v>0</v>
      </c>
      <c r="M49" s="811">
        <v>1883141</v>
      </c>
      <c r="N49" s="811">
        <v>352091</v>
      </c>
      <c r="O49" s="811">
        <v>0</v>
      </c>
      <c r="P49" s="811">
        <v>2411727</v>
      </c>
      <c r="Q49" s="811">
        <v>25617656</v>
      </c>
      <c r="R49" s="811">
        <v>0</v>
      </c>
      <c r="S49" s="811">
        <v>0</v>
      </c>
      <c r="T49" s="811">
        <v>111995</v>
      </c>
      <c r="U49" s="811">
        <v>0</v>
      </c>
      <c r="V49" s="811">
        <v>0</v>
      </c>
      <c r="W49" s="811">
        <v>0</v>
      </c>
      <c r="X49" s="811">
        <v>0</v>
      </c>
      <c r="Y49" s="811">
        <v>-3022880</v>
      </c>
      <c r="Z49" s="811">
        <v>0</v>
      </c>
      <c r="AA49" s="811">
        <v>0</v>
      </c>
      <c r="AB49" s="811">
        <v>274096</v>
      </c>
    </row>
    <row r="50" spans="1:28" x14ac:dyDescent="0.2">
      <c r="A50" s="554" t="s">
        <v>356</v>
      </c>
      <c r="B50" s="554"/>
      <c r="C50" s="554"/>
      <c r="D50" s="554"/>
      <c r="E50" s="554"/>
      <c r="F50" s="555"/>
      <c r="G50" s="811"/>
      <c r="H50" s="811">
        <v>0</v>
      </c>
      <c r="I50" s="811">
        <v>11263774</v>
      </c>
      <c r="J50" s="811">
        <v>25568206</v>
      </c>
      <c r="K50" s="811">
        <v>231053</v>
      </c>
      <c r="L50" s="811">
        <v>0</v>
      </c>
      <c r="M50" s="811">
        <v>6978617</v>
      </c>
      <c r="N50" s="811">
        <v>-566733</v>
      </c>
      <c r="O50" s="811">
        <v>0</v>
      </c>
      <c r="P50" s="811">
        <v>360493</v>
      </c>
      <c r="Q50" s="811">
        <v>26523199</v>
      </c>
      <c r="R50" s="811">
        <v>0</v>
      </c>
      <c r="S50" s="811">
        <v>0</v>
      </c>
      <c r="T50" s="811">
        <v>0</v>
      </c>
      <c r="U50" s="811">
        <v>0</v>
      </c>
      <c r="V50" s="811">
        <v>17471066</v>
      </c>
      <c r="W50" s="811">
        <v>312743</v>
      </c>
      <c r="X50" s="811">
        <v>20472478</v>
      </c>
      <c r="Y50" s="811">
        <v>6432291</v>
      </c>
      <c r="Z50" s="811">
        <v>245001</v>
      </c>
      <c r="AA50" s="1125">
        <f>43399000+112000</f>
        <v>43511000</v>
      </c>
      <c r="AB50" s="811">
        <v>5827218</v>
      </c>
    </row>
    <row r="51" spans="1:28" x14ac:dyDescent="0.2">
      <c r="A51" s="554" t="s">
        <v>33</v>
      </c>
      <c r="B51" s="554"/>
      <c r="C51" s="554"/>
      <c r="D51" s="554"/>
      <c r="E51" s="554"/>
      <c r="F51" s="555"/>
      <c r="G51" s="811"/>
      <c r="H51" s="811">
        <v>0</v>
      </c>
      <c r="I51" s="811">
        <v>0</v>
      </c>
      <c r="J51" s="811">
        <v>0</v>
      </c>
      <c r="K51" s="811">
        <v>0</v>
      </c>
      <c r="L51" s="811">
        <v>0</v>
      </c>
      <c r="M51" s="811">
        <v>0</v>
      </c>
      <c r="N51" s="811">
        <v>0</v>
      </c>
      <c r="O51" s="811">
        <v>0</v>
      </c>
      <c r="P51" s="811">
        <v>0</v>
      </c>
      <c r="Q51" s="811">
        <v>0</v>
      </c>
      <c r="R51" s="811">
        <v>0</v>
      </c>
      <c r="S51" s="811">
        <v>0</v>
      </c>
      <c r="T51" s="811">
        <v>0</v>
      </c>
      <c r="U51" s="811">
        <v>0</v>
      </c>
      <c r="V51" s="811">
        <v>0</v>
      </c>
      <c r="W51" s="811">
        <v>7939</v>
      </c>
      <c r="X51" s="811">
        <v>0</v>
      </c>
      <c r="Y51" s="811">
        <v>2097491</v>
      </c>
      <c r="Z51" s="811">
        <v>0</v>
      </c>
      <c r="AA51" s="811">
        <v>0</v>
      </c>
      <c r="AB51" s="811">
        <v>0</v>
      </c>
    </row>
    <row r="52" spans="1:28" x14ac:dyDescent="0.2">
      <c r="A52" s="554" t="s">
        <v>34</v>
      </c>
      <c r="B52" s="554"/>
      <c r="C52" s="554"/>
      <c r="D52" s="554"/>
      <c r="E52" s="554"/>
      <c r="F52" s="555"/>
      <c r="G52" s="811"/>
      <c r="H52" s="811">
        <v>72496</v>
      </c>
      <c r="I52" s="811">
        <v>16759153</v>
      </c>
      <c r="J52" s="811">
        <v>0</v>
      </c>
      <c r="K52" s="811">
        <v>0</v>
      </c>
      <c r="L52" s="811">
        <v>0</v>
      </c>
      <c r="M52" s="811">
        <v>392883</v>
      </c>
      <c r="N52" s="811">
        <v>2906154</v>
      </c>
      <c r="O52" s="811">
        <v>0</v>
      </c>
      <c r="P52" s="811">
        <v>2051234</v>
      </c>
      <c r="Q52" s="811">
        <v>8324800</v>
      </c>
      <c r="R52" s="811">
        <v>0</v>
      </c>
      <c r="S52" s="811">
        <v>0</v>
      </c>
      <c r="T52" s="811">
        <v>0</v>
      </c>
      <c r="U52" s="811">
        <v>0</v>
      </c>
      <c r="V52" s="811">
        <v>0</v>
      </c>
      <c r="W52" s="811">
        <v>17849485</v>
      </c>
      <c r="X52" s="811">
        <v>0</v>
      </c>
      <c r="Y52" s="811">
        <v>0</v>
      </c>
      <c r="Z52" s="811">
        <v>0</v>
      </c>
      <c r="AA52" s="1125">
        <f>53063000+38671000</f>
        <v>91734000</v>
      </c>
      <c r="AB52" s="1125">
        <f>24472570-1506133</f>
        <v>22966437</v>
      </c>
    </row>
    <row r="53" spans="1:28" x14ac:dyDescent="0.2">
      <c r="A53" s="554" t="s">
        <v>35</v>
      </c>
      <c r="B53" s="554"/>
      <c r="C53" s="554"/>
      <c r="D53" s="554"/>
      <c r="E53" s="554"/>
      <c r="F53" s="555"/>
      <c r="G53" s="811"/>
      <c r="H53" s="811">
        <v>0</v>
      </c>
      <c r="I53" s="811">
        <v>0</v>
      </c>
      <c r="J53" s="811">
        <v>0</v>
      </c>
      <c r="K53" s="811">
        <v>0</v>
      </c>
      <c r="L53" s="811">
        <v>0</v>
      </c>
      <c r="M53" s="811">
        <v>0</v>
      </c>
      <c r="N53" s="811">
        <v>0</v>
      </c>
      <c r="O53" s="811">
        <v>0</v>
      </c>
      <c r="P53" s="811">
        <v>0</v>
      </c>
      <c r="Q53" s="811">
        <v>0</v>
      </c>
      <c r="R53" s="811">
        <v>0</v>
      </c>
      <c r="S53" s="811">
        <v>0</v>
      </c>
      <c r="T53" s="811">
        <v>0</v>
      </c>
      <c r="U53" s="811">
        <v>0</v>
      </c>
      <c r="V53" s="811">
        <v>0</v>
      </c>
      <c r="W53" s="811">
        <v>0</v>
      </c>
      <c r="X53" s="811">
        <v>0</v>
      </c>
      <c r="Y53" s="811">
        <v>0</v>
      </c>
      <c r="Z53" s="811">
        <v>0</v>
      </c>
      <c r="AA53" s="811">
        <v>0</v>
      </c>
      <c r="AB53" s="811">
        <v>0</v>
      </c>
    </row>
    <row r="54" spans="1:28" ht="27" customHeight="1" x14ac:dyDescent="0.2">
      <c r="A54" s="1153" t="s">
        <v>128</v>
      </c>
      <c r="B54" s="1153"/>
      <c r="C54" s="1153"/>
      <c r="D54" s="1153"/>
      <c r="E54" s="550"/>
      <c r="F54" s="555"/>
      <c r="G54" s="811"/>
      <c r="H54" s="811">
        <v>196620</v>
      </c>
      <c r="I54" s="811">
        <v>22142</v>
      </c>
      <c r="J54" s="811">
        <v>226252</v>
      </c>
      <c r="K54" s="811">
        <v>0</v>
      </c>
      <c r="L54" s="811">
        <v>53029</v>
      </c>
      <c r="M54" s="811">
        <v>0</v>
      </c>
      <c r="N54" s="811">
        <v>0</v>
      </c>
      <c r="O54" s="811">
        <v>0</v>
      </c>
      <c r="P54" s="811">
        <v>0</v>
      </c>
      <c r="Q54" s="811">
        <v>6705</v>
      </c>
      <c r="R54" s="811">
        <v>0</v>
      </c>
      <c r="S54" s="811">
        <v>0</v>
      </c>
      <c r="T54" s="811">
        <v>0</v>
      </c>
      <c r="U54" s="811">
        <v>0</v>
      </c>
      <c r="V54" s="811">
        <v>0</v>
      </c>
      <c r="W54" s="811">
        <v>140948</v>
      </c>
      <c r="X54" s="811">
        <v>0</v>
      </c>
      <c r="Y54" s="811">
        <v>0</v>
      </c>
      <c r="Z54" s="811">
        <v>0</v>
      </c>
      <c r="AA54" s="1125">
        <f>38796000-38671000</f>
        <v>125000</v>
      </c>
      <c r="AB54" s="811">
        <v>0</v>
      </c>
    </row>
    <row r="55" spans="1:28" ht="39.75" customHeight="1" x14ac:dyDescent="0.2">
      <c r="A55" s="1153" t="s">
        <v>394</v>
      </c>
      <c r="B55" s="1153"/>
      <c r="C55" s="1153"/>
      <c r="D55" s="1153"/>
      <c r="E55" s="550"/>
      <c r="F55" s="555"/>
      <c r="G55" s="811"/>
      <c r="H55" s="811">
        <v>0</v>
      </c>
      <c r="I55" s="811">
        <v>160264</v>
      </c>
      <c r="J55" s="811">
        <v>80097</v>
      </c>
      <c r="K55" s="811">
        <v>0</v>
      </c>
      <c r="L55" s="811">
        <v>0</v>
      </c>
      <c r="M55" s="811">
        <v>0</v>
      </c>
      <c r="N55" s="811">
        <v>0</v>
      </c>
      <c r="O55" s="811">
        <v>0</v>
      </c>
      <c r="P55" s="811">
        <v>0</v>
      </c>
      <c r="Q55" s="811">
        <v>10443</v>
      </c>
      <c r="R55" s="811">
        <v>0</v>
      </c>
      <c r="S55" s="811">
        <v>0</v>
      </c>
      <c r="T55" s="811">
        <v>0</v>
      </c>
      <c r="U55" s="811">
        <v>0</v>
      </c>
      <c r="V55" s="811">
        <v>507763189</v>
      </c>
      <c r="W55" s="811">
        <v>0</v>
      </c>
      <c r="X55" s="811">
        <v>20573344</v>
      </c>
      <c r="Y55" s="811">
        <v>0</v>
      </c>
      <c r="Z55" s="811">
        <v>0</v>
      </c>
      <c r="AA55" s="811">
        <v>1498000</v>
      </c>
      <c r="AB55" s="1125">
        <f>0+1956303</f>
        <v>1956303</v>
      </c>
    </row>
    <row r="56" spans="1:28" x14ac:dyDescent="0.2">
      <c r="A56" s="554" t="s">
        <v>747</v>
      </c>
      <c r="B56" s="554"/>
      <c r="C56" s="554"/>
      <c r="D56" s="554"/>
      <c r="E56" s="549"/>
      <c r="F56" s="555"/>
      <c r="G56" s="194"/>
      <c r="H56" s="194"/>
      <c r="I56" s="194"/>
      <c r="J56" s="194"/>
      <c r="K56" s="194"/>
      <c r="L56" s="194"/>
      <c r="M56" s="194"/>
      <c r="N56" s="194"/>
      <c r="O56" s="194"/>
      <c r="P56" s="194"/>
      <c r="Q56" s="194"/>
      <c r="R56" s="194"/>
      <c r="S56" s="194"/>
      <c r="T56" s="194"/>
      <c r="U56" s="194"/>
      <c r="V56" s="194"/>
      <c r="W56" s="194"/>
      <c r="X56" s="194"/>
      <c r="Y56" s="194"/>
      <c r="Z56" s="194"/>
      <c r="AA56" s="194"/>
      <c r="AB56" s="194"/>
    </row>
    <row r="57" spans="1:28" x14ac:dyDescent="0.2">
      <c r="A57" s="554"/>
      <c r="B57" s="554"/>
      <c r="C57" s="556" t="s">
        <v>622</v>
      </c>
      <c r="D57" s="554"/>
      <c r="E57" s="572"/>
      <c r="F57" s="555"/>
      <c r="G57" s="15">
        <f>SUM(G49:G56)</f>
        <v>0</v>
      </c>
      <c r="H57" s="15">
        <f t="shared" ref="H57:AB57" si="3">SUM(H49:H56)</f>
        <v>269116</v>
      </c>
      <c r="I57" s="15">
        <f t="shared" si="3"/>
        <v>28205333</v>
      </c>
      <c r="J57" s="15">
        <f t="shared" si="3"/>
        <v>36312245</v>
      </c>
      <c r="K57" s="15">
        <f t="shared" si="3"/>
        <v>231053</v>
      </c>
      <c r="L57" s="15">
        <f t="shared" si="3"/>
        <v>53029</v>
      </c>
      <c r="M57" s="15">
        <f t="shared" si="3"/>
        <v>9254641</v>
      </c>
      <c r="N57" s="15">
        <f t="shared" si="3"/>
        <v>2691512</v>
      </c>
      <c r="O57" s="15">
        <f t="shared" si="3"/>
        <v>0</v>
      </c>
      <c r="P57" s="15">
        <f t="shared" si="3"/>
        <v>4823454</v>
      </c>
      <c r="Q57" s="15">
        <f t="shared" si="3"/>
        <v>60482803</v>
      </c>
      <c r="R57" s="15">
        <f t="shared" si="3"/>
        <v>0</v>
      </c>
      <c r="S57" s="15">
        <f t="shared" si="3"/>
        <v>0</v>
      </c>
      <c r="T57" s="15">
        <f t="shared" si="3"/>
        <v>111995</v>
      </c>
      <c r="U57" s="15">
        <f t="shared" si="3"/>
        <v>0</v>
      </c>
      <c r="V57" s="15">
        <f t="shared" si="3"/>
        <v>525234255</v>
      </c>
      <c r="W57" s="15">
        <f t="shared" si="3"/>
        <v>18311115</v>
      </c>
      <c r="X57" s="15">
        <f t="shared" si="3"/>
        <v>41045822</v>
      </c>
      <c r="Y57" s="15">
        <f t="shared" si="3"/>
        <v>5506902</v>
      </c>
      <c r="Z57" s="15">
        <f t="shared" si="3"/>
        <v>245001</v>
      </c>
      <c r="AA57" s="15">
        <f t="shared" si="3"/>
        <v>136868000</v>
      </c>
      <c r="AB57" s="15">
        <f t="shared" si="3"/>
        <v>31024054</v>
      </c>
    </row>
    <row r="58" spans="1:28" x14ac:dyDescent="0.2">
      <c r="A58" s="554"/>
      <c r="B58" s="554"/>
      <c r="C58" s="554"/>
      <c r="D58" s="554"/>
      <c r="E58" s="550"/>
      <c r="F58" s="550"/>
      <c r="G58" s="12"/>
      <c r="H58" s="12"/>
      <c r="I58" s="12"/>
      <c r="J58" s="12"/>
      <c r="K58" s="12"/>
      <c r="L58" s="12"/>
      <c r="M58" s="12"/>
      <c r="N58" s="12"/>
      <c r="O58" s="12"/>
      <c r="P58" s="12"/>
      <c r="Q58" s="12"/>
      <c r="R58" s="12"/>
      <c r="S58" s="12"/>
      <c r="T58" s="12"/>
      <c r="U58" s="12"/>
      <c r="V58" s="12"/>
      <c r="W58" s="12"/>
      <c r="X58" s="12"/>
      <c r="Y58" s="12"/>
      <c r="Z58" s="12"/>
      <c r="AA58" s="12"/>
      <c r="AB58" s="12"/>
    </row>
    <row r="59" spans="1:28" x14ac:dyDescent="0.2">
      <c r="A59" s="554" t="s">
        <v>405</v>
      </c>
      <c r="B59" s="554"/>
      <c r="C59" s="554"/>
      <c r="D59" s="554"/>
      <c r="E59" s="550"/>
      <c r="F59" s="555"/>
      <c r="G59" s="192"/>
      <c r="H59" s="192">
        <v>0</v>
      </c>
      <c r="I59" s="192">
        <v>0</v>
      </c>
      <c r="J59" s="192">
        <v>0</v>
      </c>
      <c r="K59" s="192">
        <v>0</v>
      </c>
      <c r="L59" s="192">
        <v>0</v>
      </c>
      <c r="M59" s="192">
        <v>0</v>
      </c>
      <c r="N59" s="192">
        <v>0</v>
      </c>
      <c r="O59" s="192">
        <v>0</v>
      </c>
      <c r="P59" s="192">
        <v>0</v>
      </c>
      <c r="Q59" s="192">
        <v>0</v>
      </c>
      <c r="R59" s="192">
        <v>0</v>
      </c>
      <c r="S59" s="192">
        <v>0</v>
      </c>
      <c r="T59" s="192">
        <v>0</v>
      </c>
      <c r="U59" s="192">
        <v>0</v>
      </c>
      <c r="V59" s="192">
        <v>0</v>
      </c>
      <c r="W59" s="192">
        <v>0</v>
      </c>
      <c r="X59" s="192">
        <v>0</v>
      </c>
      <c r="Y59" s="192">
        <v>0</v>
      </c>
      <c r="Z59" s="192">
        <v>0</v>
      </c>
      <c r="AA59" s="192">
        <v>0</v>
      </c>
      <c r="AB59" s="192">
        <v>0</v>
      </c>
    </row>
    <row r="60" spans="1:28" x14ac:dyDescent="0.2">
      <c r="A60" s="554"/>
      <c r="B60" s="554"/>
      <c r="C60" s="554"/>
      <c r="D60" s="554"/>
      <c r="E60" s="550"/>
      <c r="F60" s="555"/>
      <c r="G60" s="209"/>
      <c r="H60" s="209"/>
      <c r="I60" s="209"/>
      <c r="J60" s="209"/>
      <c r="K60" s="209"/>
      <c r="L60" s="209"/>
      <c r="M60" s="209"/>
      <c r="N60" s="209"/>
      <c r="O60" s="209"/>
      <c r="P60" s="209"/>
      <c r="Q60" s="209"/>
      <c r="R60" s="209"/>
      <c r="S60" s="209"/>
      <c r="T60" s="209"/>
      <c r="U60" s="209"/>
      <c r="V60" s="209"/>
      <c r="W60" s="209"/>
      <c r="X60" s="209"/>
      <c r="Y60" s="209"/>
      <c r="Z60" s="209"/>
      <c r="AA60" s="209"/>
      <c r="AB60" s="209"/>
    </row>
    <row r="61" spans="1:28" ht="28.5" customHeight="1" x14ac:dyDescent="0.2">
      <c r="A61" s="1153" t="s">
        <v>739</v>
      </c>
      <c r="B61" s="1153"/>
      <c r="C61" s="1153"/>
      <c r="D61" s="1153"/>
      <c r="E61" s="550"/>
      <c r="F61" s="555"/>
      <c r="G61" s="192"/>
      <c r="H61" s="192">
        <v>0</v>
      </c>
      <c r="I61" s="192">
        <v>0</v>
      </c>
      <c r="J61" s="192">
        <v>0</v>
      </c>
      <c r="K61" s="192">
        <v>0</v>
      </c>
      <c r="L61" s="192">
        <v>0</v>
      </c>
      <c r="M61" s="192">
        <v>0</v>
      </c>
      <c r="N61" s="192">
        <v>0</v>
      </c>
      <c r="O61" s="192">
        <v>0</v>
      </c>
      <c r="P61" s="192">
        <v>0</v>
      </c>
      <c r="Q61" s="192">
        <v>0</v>
      </c>
      <c r="R61" s="192">
        <v>0</v>
      </c>
      <c r="S61" s="192">
        <v>0</v>
      </c>
      <c r="T61" s="192">
        <v>0</v>
      </c>
      <c r="U61" s="192">
        <v>0</v>
      </c>
      <c r="V61" s="192">
        <v>0</v>
      </c>
      <c r="W61" s="192">
        <v>0</v>
      </c>
      <c r="X61" s="192">
        <v>0</v>
      </c>
      <c r="Y61" s="192">
        <v>0</v>
      </c>
      <c r="Z61" s="192">
        <v>0</v>
      </c>
      <c r="AA61" s="192">
        <v>0</v>
      </c>
      <c r="AB61" s="192">
        <v>0</v>
      </c>
    </row>
    <row r="62" spans="1:28" ht="25.5" customHeight="1" x14ac:dyDescent="0.2">
      <c r="A62" s="1153" t="s">
        <v>129</v>
      </c>
      <c r="B62" s="1153"/>
      <c r="C62" s="1153"/>
      <c r="D62" s="1153"/>
      <c r="E62" s="550"/>
      <c r="F62" s="555"/>
      <c r="G62" s="192"/>
      <c r="H62" s="192">
        <v>396041</v>
      </c>
      <c r="I62" s="192">
        <v>98800244</v>
      </c>
      <c r="J62" s="192">
        <v>22505937</v>
      </c>
      <c r="K62" s="192">
        <v>0</v>
      </c>
      <c r="L62" s="192">
        <v>0</v>
      </c>
      <c r="M62" s="192">
        <v>0</v>
      </c>
      <c r="N62" s="192">
        <v>0</v>
      </c>
      <c r="O62" s="192">
        <v>0</v>
      </c>
      <c r="P62" s="192">
        <v>0</v>
      </c>
      <c r="Q62" s="1119">
        <f>30762934-3662828-2633343+3662828</f>
        <v>28129591</v>
      </c>
      <c r="R62" s="192">
        <v>0</v>
      </c>
      <c r="S62" s="192">
        <v>0</v>
      </c>
      <c r="T62" s="192">
        <v>0</v>
      </c>
      <c r="U62" s="192">
        <v>0</v>
      </c>
      <c r="V62" s="192">
        <v>7023541183</v>
      </c>
      <c r="W62" s="192">
        <v>52307033</v>
      </c>
      <c r="X62" s="192">
        <v>0</v>
      </c>
      <c r="Y62" s="192">
        <v>0</v>
      </c>
      <c r="Z62" s="192">
        <v>1274020</v>
      </c>
      <c r="AA62" s="192">
        <v>172281000</v>
      </c>
      <c r="AB62" s="1125">
        <f>47537575+333744</f>
        <v>47871319</v>
      </c>
    </row>
    <row r="63" spans="1:28" x14ac:dyDescent="0.2">
      <c r="A63" s="554" t="s">
        <v>496</v>
      </c>
      <c r="B63" s="554"/>
      <c r="C63" s="554"/>
      <c r="D63" s="554"/>
      <c r="E63" s="550"/>
      <c r="F63" s="555"/>
      <c r="G63" s="194"/>
      <c r="H63" s="194"/>
      <c r="I63" s="194"/>
      <c r="J63" s="194"/>
      <c r="K63" s="194"/>
      <c r="L63" s="194"/>
      <c r="M63" s="194"/>
      <c r="N63" s="194"/>
      <c r="O63" s="194"/>
      <c r="P63" s="194"/>
      <c r="Q63" s="194"/>
      <c r="R63" s="194"/>
      <c r="S63" s="194"/>
      <c r="T63" s="194"/>
      <c r="U63" s="194"/>
      <c r="V63" s="194"/>
      <c r="W63" s="194"/>
      <c r="X63" s="194"/>
      <c r="Y63" s="194"/>
      <c r="Z63" s="194"/>
      <c r="AA63" s="194"/>
      <c r="AB63" s="194"/>
    </row>
    <row r="64" spans="1:28" x14ac:dyDescent="0.2">
      <c r="A64" s="554"/>
      <c r="B64" s="554"/>
      <c r="C64" s="556" t="s">
        <v>623</v>
      </c>
      <c r="D64" s="554"/>
      <c r="E64" s="559"/>
      <c r="F64" s="560"/>
      <c r="G64" s="15">
        <f>SUM(G59:G63)</f>
        <v>0</v>
      </c>
      <c r="H64" s="15">
        <f t="shared" ref="H64:AB64" si="4">SUM(H59:H63)</f>
        <v>396041</v>
      </c>
      <c r="I64" s="15">
        <f t="shared" si="4"/>
        <v>98800244</v>
      </c>
      <c r="J64" s="15">
        <f t="shared" si="4"/>
        <v>22505937</v>
      </c>
      <c r="K64" s="15">
        <f t="shared" si="4"/>
        <v>0</v>
      </c>
      <c r="L64" s="15">
        <f t="shared" si="4"/>
        <v>0</v>
      </c>
      <c r="M64" s="15">
        <f t="shared" si="4"/>
        <v>0</v>
      </c>
      <c r="N64" s="15">
        <f t="shared" si="4"/>
        <v>0</v>
      </c>
      <c r="O64" s="15">
        <f t="shared" si="4"/>
        <v>0</v>
      </c>
      <c r="P64" s="15">
        <f t="shared" si="4"/>
        <v>0</v>
      </c>
      <c r="Q64" s="15">
        <f t="shared" si="4"/>
        <v>28129591</v>
      </c>
      <c r="R64" s="15">
        <f t="shared" si="4"/>
        <v>0</v>
      </c>
      <c r="S64" s="15">
        <f t="shared" si="4"/>
        <v>0</v>
      </c>
      <c r="T64" s="15">
        <f t="shared" si="4"/>
        <v>0</v>
      </c>
      <c r="U64" s="15">
        <f t="shared" si="4"/>
        <v>0</v>
      </c>
      <c r="V64" s="15">
        <f t="shared" si="4"/>
        <v>7023541183</v>
      </c>
      <c r="W64" s="15">
        <f t="shared" si="4"/>
        <v>52307033</v>
      </c>
      <c r="X64" s="15">
        <f t="shared" si="4"/>
        <v>0</v>
      </c>
      <c r="Y64" s="15">
        <f t="shared" si="4"/>
        <v>0</v>
      </c>
      <c r="Z64" s="15">
        <f t="shared" si="4"/>
        <v>1274020</v>
      </c>
      <c r="AA64" s="15">
        <f t="shared" si="4"/>
        <v>172281000</v>
      </c>
      <c r="AB64" s="15">
        <f t="shared" si="4"/>
        <v>47871319</v>
      </c>
    </row>
    <row r="65" spans="1:30" x14ac:dyDescent="0.2">
      <c r="A65" s="1118" t="s">
        <v>1718</v>
      </c>
      <c r="B65" s="554"/>
      <c r="C65" s="554"/>
      <c r="D65" s="554"/>
      <c r="E65" s="550"/>
      <c r="F65" s="550"/>
      <c r="G65" s="811"/>
      <c r="H65" s="811"/>
      <c r="I65" s="811"/>
      <c r="J65" s="811"/>
      <c r="K65" s="811"/>
      <c r="L65" s="811"/>
      <c r="M65" s="811"/>
      <c r="N65" s="811"/>
      <c r="O65" s="811"/>
      <c r="P65" s="811"/>
      <c r="Q65" s="811"/>
      <c r="R65" s="811"/>
      <c r="S65" s="811"/>
      <c r="T65" s="811"/>
      <c r="U65" s="811"/>
      <c r="V65" s="1122">
        <f>234187569</f>
        <v>234187569</v>
      </c>
      <c r="W65" s="1125">
        <f>65155764</f>
        <v>65155764</v>
      </c>
      <c r="X65" s="811"/>
      <c r="Y65" s="811"/>
      <c r="Z65" s="811"/>
      <c r="AA65" s="811"/>
      <c r="AB65" s="811"/>
    </row>
    <row r="66" spans="1:30" x14ac:dyDescent="0.2">
      <c r="A66" s="556" t="s">
        <v>190</v>
      </c>
      <c r="B66" s="554"/>
      <c r="C66" s="554"/>
      <c r="D66" s="554"/>
      <c r="E66" s="550"/>
      <c r="F66" s="555"/>
      <c r="G66" s="811"/>
      <c r="H66" s="811">
        <v>2140387</v>
      </c>
      <c r="I66" s="811">
        <v>3784533</v>
      </c>
      <c r="J66" s="811">
        <v>10229926</v>
      </c>
      <c r="K66" s="811">
        <v>1067961</v>
      </c>
      <c r="L66" s="811">
        <v>7198592</v>
      </c>
      <c r="M66" s="811">
        <v>1097584</v>
      </c>
      <c r="N66" s="811">
        <v>1092271</v>
      </c>
      <c r="O66" s="811">
        <v>67531</v>
      </c>
      <c r="P66" s="811">
        <v>2480875</v>
      </c>
      <c r="Q66" s="811">
        <v>5419207</v>
      </c>
      <c r="R66" s="811">
        <v>0</v>
      </c>
      <c r="S66" s="811">
        <v>3329468</v>
      </c>
      <c r="T66" s="811">
        <v>147311</v>
      </c>
      <c r="U66" s="811">
        <v>69125</v>
      </c>
      <c r="V66" s="811">
        <v>34280919</v>
      </c>
      <c r="W66" s="811">
        <v>15927668</v>
      </c>
      <c r="X66" s="811">
        <v>24925063</v>
      </c>
      <c r="Y66" s="811">
        <v>21073711</v>
      </c>
      <c r="Z66" s="811">
        <v>1072997</v>
      </c>
      <c r="AA66" s="811">
        <v>10575000</v>
      </c>
      <c r="AB66" s="811">
        <v>2407736</v>
      </c>
    </row>
    <row r="67" spans="1:30" x14ac:dyDescent="0.2">
      <c r="A67" s="554"/>
      <c r="B67" s="554"/>
      <c r="C67" s="554"/>
      <c r="D67" s="554"/>
      <c r="E67" s="550"/>
      <c r="F67" s="550"/>
      <c r="G67" s="12"/>
      <c r="H67" s="12"/>
      <c r="I67" s="12"/>
      <c r="J67" s="12"/>
      <c r="K67" s="12"/>
      <c r="L67" s="12"/>
      <c r="M67" s="12"/>
      <c r="N67" s="12"/>
      <c r="O67" s="12"/>
      <c r="P67" s="12"/>
      <c r="Q67" s="12"/>
      <c r="R67" s="12"/>
      <c r="S67" s="12"/>
      <c r="T67" s="12"/>
      <c r="U67" s="12"/>
      <c r="V67" s="12"/>
      <c r="W67" s="12"/>
      <c r="X67" s="12"/>
      <c r="Y67" s="12"/>
      <c r="Z67" s="12"/>
      <c r="AA67" s="12"/>
      <c r="AB67" s="12"/>
    </row>
    <row r="68" spans="1:30" x14ac:dyDescent="0.2">
      <c r="A68" s="554"/>
      <c r="B68" s="554"/>
      <c r="C68" s="554"/>
      <c r="D68" s="554"/>
      <c r="E68" s="550"/>
      <c r="F68" s="550"/>
      <c r="G68" s="12"/>
      <c r="H68" s="12"/>
      <c r="I68" s="12"/>
      <c r="J68" s="12"/>
      <c r="K68" s="12"/>
      <c r="L68" s="12"/>
      <c r="M68" s="12"/>
      <c r="N68" s="12"/>
      <c r="O68" s="12"/>
      <c r="P68" s="12"/>
      <c r="Q68" s="12"/>
      <c r="R68" s="12"/>
      <c r="S68" s="12"/>
      <c r="T68" s="12"/>
      <c r="U68" s="12"/>
      <c r="V68" s="12"/>
      <c r="W68" s="12"/>
      <c r="X68" s="12"/>
      <c r="Y68" s="12"/>
      <c r="Z68" s="12"/>
      <c r="AA68" s="12"/>
      <c r="AB68" s="12"/>
      <c r="AD68" s="570" t="s">
        <v>750</v>
      </c>
    </row>
    <row r="69" spans="1:30" x14ac:dyDescent="0.2">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c r="AB69" s="554"/>
      <c r="AD69" s="568"/>
    </row>
    <row r="70" spans="1:30" x14ac:dyDescent="0.2">
      <c r="A70" s="554"/>
      <c r="B70" s="554"/>
      <c r="C70" s="554"/>
      <c r="D70" s="554"/>
      <c r="E70" s="554"/>
      <c r="F70" s="554"/>
      <c r="G70" s="554"/>
      <c r="H70" s="554"/>
      <c r="I70" s="554"/>
      <c r="J70" s="554"/>
      <c r="K70" s="554"/>
      <c r="L70" s="554"/>
      <c r="M70" s="554"/>
      <c r="N70" s="554"/>
      <c r="O70" s="554"/>
      <c r="P70" s="554"/>
      <c r="Q70" s="554"/>
      <c r="R70" s="554"/>
      <c r="S70" s="554"/>
      <c r="T70" s="554"/>
      <c r="U70" s="554"/>
      <c r="V70" s="554"/>
      <c r="W70" s="554"/>
      <c r="X70" s="554"/>
      <c r="Y70" s="554"/>
      <c r="Z70" s="554"/>
      <c r="AA70" s="554"/>
      <c r="AB70" s="554"/>
      <c r="AD70" s="568"/>
    </row>
    <row r="71" spans="1:30" x14ac:dyDescent="0.2">
      <c r="A71" s="554"/>
      <c r="B71" s="572"/>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D71" s="568"/>
    </row>
    <row r="72" spans="1:30" x14ac:dyDescent="0.2">
      <c r="A72" s="554"/>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D72" s="568"/>
    </row>
    <row r="73" spans="1:30" x14ac:dyDescent="0.2">
      <c r="A73" s="554"/>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D73" s="568"/>
    </row>
    <row r="74" spans="1:30" x14ac:dyDescent="0.2">
      <c r="A74" s="554"/>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D74" s="568"/>
    </row>
    <row r="75" spans="1:30" x14ac:dyDescent="0.2">
      <c r="A75" s="556"/>
      <c r="B75" s="554"/>
      <c r="C75" s="556"/>
      <c r="D75" s="556" t="s">
        <v>1433</v>
      </c>
      <c r="E75" s="550"/>
      <c r="F75" s="550"/>
      <c r="G75" s="811"/>
      <c r="H75" s="811">
        <v>27490906</v>
      </c>
      <c r="I75" s="811">
        <v>333135498</v>
      </c>
      <c r="J75" s="811">
        <v>129005116</v>
      </c>
      <c r="K75" s="811">
        <v>24351759</v>
      </c>
      <c r="L75" s="811">
        <v>131265897</v>
      </c>
      <c r="M75" s="811">
        <v>18360420</v>
      </c>
      <c r="N75" s="811">
        <v>15146038</v>
      </c>
      <c r="O75" s="811">
        <v>0</v>
      </c>
      <c r="P75" s="811">
        <v>17301057</v>
      </c>
      <c r="Q75" s="811">
        <v>132806940</v>
      </c>
      <c r="R75" s="811">
        <v>1817349</v>
      </c>
      <c r="S75" s="811">
        <v>97030480</v>
      </c>
      <c r="T75" s="811">
        <v>0</v>
      </c>
      <c r="U75" s="811">
        <v>2809758</v>
      </c>
      <c r="V75" s="1122">
        <f>691965531-471692</f>
        <v>691493839</v>
      </c>
      <c r="W75" s="811">
        <v>114960325</v>
      </c>
      <c r="X75" s="811">
        <v>135059448</v>
      </c>
      <c r="Y75" s="811">
        <v>122564207</v>
      </c>
      <c r="Z75" s="811">
        <v>8045273</v>
      </c>
      <c r="AA75" s="1125">
        <f>482826000+3345000</f>
        <v>486171000</v>
      </c>
      <c r="AB75" s="811">
        <v>59411577</v>
      </c>
      <c r="AD75" s="568">
        <f>SUM(H75:AB75)</f>
        <v>2548226887</v>
      </c>
    </row>
    <row r="76" spans="1:30" x14ac:dyDescent="0.2">
      <c r="A76" s="554"/>
      <c r="B76" s="554"/>
      <c r="C76" s="554"/>
      <c r="D76" s="554"/>
      <c r="E76" s="554"/>
      <c r="F76" s="554"/>
      <c r="G76" s="554"/>
      <c r="H76" s="554"/>
      <c r="I76" s="554"/>
      <c r="J76" s="554"/>
      <c r="K76" s="554"/>
      <c r="L76" s="554"/>
      <c r="M76" s="554"/>
      <c r="N76" s="554"/>
      <c r="O76" s="554"/>
      <c r="P76" s="554"/>
      <c r="Q76" s="554"/>
      <c r="R76" s="554"/>
      <c r="S76" s="554"/>
      <c r="T76" s="554"/>
      <c r="U76" s="554"/>
      <c r="V76" s="554"/>
      <c r="W76" s="554"/>
      <c r="X76" s="554"/>
      <c r="Y76" s="554"/>
      <c r="Z76" s="554"/>
      <c r="AA76" s="554"/>
      <c r="AB76" s="554"/>
      <c r="AC76" s="554"/>
      <c r="AD76" s="554"/>
    </row>
    <row r="77" spans="1:30" x14ac:dyDescent="0.2">
      <c r="A77" s="554"/>
      <c r="B77" s="554"/>
      <c r="C77" s="554"/>
      <c r="D77" s="554"/>
      <c r="E77" s="554"/>
      <c r="F77" s="554"/>
      <c r="G77" s="554"/>
      <c r="H77" s="554"/>
      <c r="I77" s="554"/>
      <c r="J77" s="554"/>
      <c r="K77" s="554"/>
      <c r="L77" s="554"/>
      <c r="M77" s="554"/>
      <c r="N77" s="554"/>
      <c r="O77" s="554"/>
      <c r="P77" s="554"/>
      <c r="Q77" s="554"/>
      <c r="R77" s="554"/>
      <c r="S77" s="554"/>
      <c r="T77" s="554"/>
      <c r="U77" s="554"/>
      <c r="V77" s="554"/>
      <c r="W77" s="554"/>
      <c r="X77" s="554"/>
      <c r="Y77" s="554"/>
      <c r="Z77" s="554"/>
      <c r="AA77" s="554"/>
      <c r="AB77" s="554"/>
      <c r="AC77" s="554"/>
      <c r="AD77" s="554"/>
    </row>
    <row r="78" spans="1:30" x14ac:dyDescent="0.2">
      <c r="A78" s="554"/>
      <c r="B78" s="554"/>
      <c r="C78" s="554"/>
      <c r="D78" s="554"/>
      <c r="E78" s="554"/>
      <c r="F78" s="554"/>
      <c r="G78" s="554"/>
      <c r="H78" s="554"/>
      <c r="I78" s="554"/>
      <c r="J78" s="554"/>
      <c r="K78" s="554"/>
      <c r="L78" s="554"/>
      <c r="M78" s="554"/>
      <c r="N78" s="554"/>
      <c r="O78" s="554"/>
      <c r="P78" s="554"/>
      <c r="Q78" s="554"/>
      <c r="R78" s="554"/>
      <c r="S78" s="554"/>
      <c r="T78" s="554"/>
      <c r="U78" s="554"/>
      <c r="V78" s="554"/>
      <c r="W78" s="554"/>
      <c r="X78" s="554"/>
      <c r="Y78" s="554"/>
      <c r="Z78" s="554"/>
      <c r="AA78" s="554"/>
      <c r="AB78" s="554"/>
      <c r="AC78" s="554"/>
      <c r="AD78" s="554"/>
    </row>
    <row r="79" spans="1:30" x14ac:dyDescent="0.2">
      <c r="A79" s="554"/>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row>
    <row r="80" spans="1:30" x14ac:dyDescent="0.2">
      <c r="A80" s="554"/>
      <c r="B80" s="554"/>
      <c r="C80" s="554"/>
      <c r="D80" s="554"/>
      <c r="E80" s="554"/>
      <c r="F80" s="554"/>
      <c r="G80" s="554"/>
      <c r="H80" s="554"/>
      <c r="I80" s="554"/>
      <c r="J80" s="554"/>
      <c r="K80" s="554"/>
      <c r="L80" s="554"/>
      <c r="M80" s="554"/>
      <c r="N80" s="554"/>
      <c r="O80" s="554"/>
      <c r="P80" s="554"/>
      <c r="Q80" s="554"/>
      <c r="R80" s="554"/>
      <c r="S80" s="554"/>
      <c r="T80" s="554"/>
      <c r="U80" s="554"/>
      <c r="V80" s="554"/>
      <c r="W80" s="554"/>
      <c r="X80" s="554"/>
      <c r="Y80" s="554"/>
      <c r="Z80" s="554"/>
      <c r="AA80" s="554"/>
      <c r="AB80" s="554"/>
      <c r="AC80" s="554"/>
      <c r="AD80" s="554"/>
    </row>
    <row r="81" spans="1:30" x14ac:dyDescent="0.2">
      <c r="A81" s="554"/>
      <c r="B81" s="572"/>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row>
    <row r="82" spans="1:30" x14ac:dyDescent="0.2">
      <c r="A82" s="554"/>
      <c r="B82" s="554"/>
      <c r="C82" s="554"/>
      <c r="D82" s="554"/>
      <c r="E82" s="554"/>
      <c r="F82" s="554"/>
      <c r="G82" s="554"/>
      <c r="H82" s="554"/>
      <c r="I82" s="554"/>
      <c r="J82" s="554"/>
      <c r="K82" s="554"/>
      <c r="L82" s="554"/>
      <c r="M82" s="554"/>
      <c r="N82" s="554"/>
      <c r="O82" s="554"/>
      <c r="P82" s="554"/>
      <c r="Q82" s="554"/>
      <c r="R82" s="554"/>
      <c r="S82" s="554"/>
      <c r="T82" s="554"/>
      <c r="U82" s="554"/>
      <c r="V82" s="554"/>
      <c r="W82" s="554"/>
      <c r="X82" s="554"/>
      <c r="Y82" s="554"/>
      <c r="Z82" s="554"/>
      <c r="AA82" s="554"/>
      <c r="AB82" s="554"/>
      <c r="AC82" s="554"/>
      <c r="AD82" s="554"/>
    </row>
    <row r="83" spans="1:30" x14ac:dyDescent="0.2">
      <c r="A83" s="554"/>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row>
    <row r="84" spans="1:30" x14ac:dyDescent="0.2">
      <c r="A84" s="554"/>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row>
    <row r="85" spans="1:30" x14ac:dyDescent="0.2">
      <c r="A85" s="554"/>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row>
    <row r="86" spans="1:30" x14ac:dyDescent="0.2">
      <c r="A86" s="554"/>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row>
    <row r="87" spans="1:30" x14ac:dyDescent="0.2">
      <c r="A87" s="554"/>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row>
    <row r="88" spans="1:30" x14ac:dyDescent="0.2">
      <c r="A88" s="554"/>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row>
    <row r="89" spans="1:30" x14ac:dyDescent="0.2">
      <c r="A89" s="556"/>
      <c r="B89" s="554"/>
      <c r="C89" s="556"/>
      <c r="D89" s="556" t="s">
        <v>1435</v>
      </c>
      <c r="E89" s="550"/>
      <c r="F89" s="550"/>
      <c r="G89" s="811"/>
      <c r="H89" s="811">
        <v>584435907</v>
      </c>
      <c r="I89" s="811">
        <v>806844521</v>
      </c>
      <c r="J89" s="811">
        <v>1220857164</v>
      </c>
      <c r="K89" s="811">
        <v>29466698</v>
      </c>
      <c r="L89" s="811">
        <v>1237587750</v>
      </c>
      <c r="M89" s="811">
        <v>270178081</v>
      </c>
      <c r="N89" s="811">
        <v>437240756</v>
      </c>
      <c r="O89" s="811">
        <v>8536097</v>
      </c>
      <c r="P89" s="811">
        <v>263275942</v>
      </c>
      <c r="Q89" s="1122">
        <f>757891866+14132133</f>
        <v>772023999</v>
      </c>
      <c r="R89" s="811">
        <v>24944244</v>
      </c>
      <c r="S89" s="811">
        <v>343797130</v>
      </c>
      <c r="T89" s="811">
        <v>1254249</v>
      </c>
      <c r="U89" s="811">
        <v>11880754</v>
      </c>
      <c r="V89" s="1122">
        <f>4458575393-8809268</f>
        <v>4449766125</v>
      </c>
      <c r="W89" s="811">
        <v>1280105073</v>
      </c>
      <c r="X89" s="811">
        <v>1679742722</v>
      </c>
      <c r="Y89" s="811">
        <v>1273030731</v>
      </c>
      <c r="Z89" s="811">
        <v>427013643</v>
      </c>
      <c r="AA89" s="1125">
        <f>2146406000+4000000</f>
        <v>2150406000</v>
      </c>
      <c r="AB89" s="811">
        <v>249758686</v>
      </c>
      <c r="AD89" s="568">
        <f>SUM(H89:AB89)</f>
        <v>17522146272</v>
      </c>
    </row>
    <row r="90" spans="1:30" x14ac:dyDescent="0.2">
      <c r="A90" s="554"/>
      <c r="B90" s="554"/>
      <c r="C90" s="554"/>
      <c r="D90" s="554"/>
      <c r="E90" s="550"/>
      <c r="F90" s="550"/>
      <c r="G90" s="12"/>
      <c r="H90" s="12"/>
      <c r="I90" s="12"/>
      <c r="J90" s="12"/>
      <c r="K90" s="12"/>
      <c r="L90" s="12"/>
      <c r="M90" s="12"/>
      <c r="N90" s="12"/>
      <c r="O90" s="12"/>
      <c r="P90" s="12"/>
      <c r="Q90" s="12"/>
      <c r="R90" s="12"/>
      <c r="S90" s="12"/>
      <c r="T90" s="12"/>
      <c r="U90" s="12"/>
      <c r="V90" s="12"/>
      <c r="W90" s="12"/>
      <c r="X90" s="12"/>
      <c r="Y90" s="12"/>
      <c r="Z90" s="12"/>
      <c r="AA90" s="12"/>
      <c r="AB90" s="12"/>
    </row>
    <row r="91" spans="1:30" x14ac:dyDescent="0.2">
      <c r="A91" s="554"/>
      <c r="B91" s="554"/>
      <c r="C91" s="554"/>
      <c r="D91" s="554" t="s">
        <v>720</v>
      </c>
      <c r="E91" s="550"/>
      <c r="F91" s="550"/>
      <c r="G91" s="15">
        <f>SUM(G9,G17,G20:G37,G43,G45,G46,G57,G64,G65,G66,G75,G89)</f>
        <v>0</v>
      </c>
      <c r="H91" s="15">
        <f t="shared" ref="H91:AB91" si="5">SUM(H9,H17,H20:H37,H43,H45,H46,H57,H64,H65,H66,H75,H89)</f>
        <v>665579834</v>
      </c>
      <c r="I91" s="15">
        <f t="shared" si="5"/>
        <v>1614331406</v>
      </c>
      <c r="J91" s="15">
        <f t="shared" si="5"/>
        <v>2318957047</v>
      </c>
      <c r="K91" s="15">
        <f t="shared" si="5"/>
        <v>76979229</v>
      </c>
      <c r="L91" s="15">
        <f t="shared" si="5"/>
        <v>1859800356</v>
      </c>
      <c r="M91" s="15">
        <f t="shared" si="5"/>
        <v>330285304</v>
      </c>
      <c r="N91" s="15">
        <f t="shared" si="5"/>
        <v>521017606</v>
      </c>
      <c r="O91" s="15">
        <f t="shared" si="5"/>
        <v>11139527</v>
      </c>
      <c r="P91" s="15">
        <f t="shared" si="5"/>
        <v>373169932</v>
      </c>
      <c r="Q91" s="15">
        <f t="shared" si="5"/>
        <v>1267759840</v>
      </c>
      <c r="R91" s="15">
        <f t="shared" si="5"/>
        <v>33676300</v>
      </c>
      <c r="S91" s="15">
        <f t="shared" si="5"/>
        <v>699275566</v>
      </c>
      <c r="T91" s="15">
        <f t="shared" si="5"/>
        <v>2560094</v>
      </c>
      <c r="U91" s="15">
        <f t="shared" si="5"/>
        <v>20177927</v>
      </c>
      <c r="V91" s="15">
        <f t="shared" si="5"/>
        <v>17906109957</v>
      </c>
      <c r="W91" s="15">
        <f t="shared" si="5"/>
        <v>2423548603</v>
      </c>
      <c r="X91" s="15">
        <f t="shared" si="5"/>
        <v>4255228466</v>
      </c>
      <c r="Y91" s="15">
        <f t="shared" si="5"/>
        <v>2037283726</v>
      </c>
      <c r="Z91" s="15">
        <f t="shared" si="5"/>
        <v>515784159</v>
      </c>
      <c r="AA91" s="15">
        <f t="shared" si="5"/>
        <v>4168472000</v>
      </c>
      <c r="AB91" s="15">
        <f t="shared" si="5"/>
        <v>579770503</v>
      </c>
    </row>
    <row r="92" spans="1:30" x14ac:dyDescent="0.2">
      <c r="A92" s="554"/>
      <c r="B92" s="554"/>
      <c r="C92" s="554"/>
      <c r="D92" s="554"/>
      <c r="E92" s="550"/>
      <c r="F92" s="550"/>
      <c r="G92" s="17"/>
      <c r="H92" s="17"/>
      <c r="I92" s="17"/>
      <c r="J92" s="17"/>
      <c r="K92" s="17"/>
      <c r="L92" s="17"/>
      <c r="M92" s="17"/>
      <c r="N92" s="17"/>
      <c r="O92" s="17"/>
      <c r="P92" s="17"/>
      <c r="Q92" s="17"/>
      <c r="R92" s="17"/>
      <c r="S92" s="17"/>
      <c r="T92" s="17"/>
      <c r="U92" s="17"/>
      <c r="V92" s="17"/>
      <c r="W92" s="17"/>
      <c r="X92" s="17"/>
      <c r="Y92" s="17"/>
      <c r="Z92" s="17"/>
      <c r="AA92" s="17"/>
      <c r="AB92" s="17"/>
    </row>
    <row r="93" spans="1:30" x14ac:dyDescent="0.2">
      <c r="A93" s="211" t="s">
        <v>850</v>
      </c>
      <c r="B93" s="10"/>
      <c r="C93" s="10"/>
      <c r="D93" s="10"/>
      <c r="E93" s="550"/>
      <c r="F93" s="550"/>
      <c r="G93" s="811"/>
      <c r="H93" s="811">
        <v>11220764</v>
      </c>
      <c r="I93" s="811">
        <v>29346705</v>
      </c>
      <c r="J93" s="811">
        <v>74344773</v>
      </c>
      <c r="K93" s="811">
        <v>161802</v>
      </c>
      <c r="L93" s="811">
        <v>41024376</v>
      </c>
      <c r="M93" s="811">
        <v>8645274</v>
      </c>
      <c r="N93" s="811">
        <v>7706838</v>
      </c>
      <c r="O93" s="1119">
        <f>269325+143672</f>
        <v>412997</v>
      </c>
      <c r="P93" s="811">
        <v>12220898</v>
      </c>
      <c r="Q93" s="1119">
        <f>29249465+740936+259065</f>
        <v>30249466</v>
      </c>
      <c r="R93" s="811">
        <v>121771</v>
      </c>
      <c r="S93" s="811">
        <v>16649997</v>
      </c>
      <c r="T93" s="811">
        <v>953199</v>
      </c>
      <c r="U93" s="811">
        <v>369909</v>
      </c>
      <c r="V93" s="811">
        <v>130887647</v>
      </c>
      <c r="W93" s="811">
        <v>88745166</v>
      </c>
      <c r="X93" s="811">
        <v>22947452</v>
      </c>
      <c r="Y93" s="811">
        <v>97796497</v>
      </c>
      <c r="Z93" s="811">
        <v>6542420</v>
      </c>
      <c r="AA93" s="1125">
        <f>94280000+42000</f>
        <v>94322000</v>
      </c>
      <c r="AB93" s="1125">
        <f>11189402+530990</f>
        <v>11720392</v>
      </c>
    </row>
    <row r="94" spans="1:30" x14ac:dyDescent="0.2">
      <c r="A94" s="10"/>
      <c r="B94" s="10"/>
      <c r="C94" s="10"/>
      <c r="D94" s="10"/>
      <c r="E94" s="550"/>
      <c r="F94" s="550"/>
      <c r="G94" s="17"/>
      <c r="H94" s="17"/>
      <c r="I94" s="17"/>
      <c r="J94" s="17"/>
      <c r="K94" s="17"/>
      <c r="L94" s="17"/>
      <c r="M94" s="17"/>
      <c r="N94" s="17"/>
      <c r="O94" s="17"/>
      <c r="P94" s="17"/>
      <c r="Q94" s="17"/>
      <c r="R94" s="17"/>
      <c r="S94" s="17"/>
      <c r="T94" s="17"/>
      <c r="U94" s="17"/>
      <c r="V94" s="17"/>
      <c r="W94" s="17"/>
      <c r="X94" s="17"/>
      <c r="Y94" s="17"/>
      <c r="Z94" s="17"/>
      <c r="AA94" s="17"/>
      <c r="AB94" s="17"/>
    </row>
    <row r="95" spans="1:30" ht="13.5" thickBot="1" x14ac:dyDescent="0.25">
      <c r="A95" s="10"/>
      <c r="B95" s="10"/>
      <c r="C95" s="10"/>
      <c r="D95" s="211" t="s">
        <v>941</v>
      </c>
      <c r="E95" s="550"/>
      <c r="F95" s="550"/>
      <c r="G95" s="20">
        <f>SUM(G91,G93)</f>
        <v>0</v>
      </c>
      <c r="H95" s="20">
        <f t="shared" ref="H95:AB95" si="6">SUM(H91,H93)</f>
        <v>676800598</v>
      </c>
      <c r="I95" s="20">
        <f t="shared" si="6"/>
        <v>1643678111</v>
      </c>
      <c r="J95" s="20">
        <f t="shared" si="6"/>
        <v>2393301820</v>
      </c>
      <c r="K95" s="20">
        <f t="shared" si="6"/>
        <v>77141031</v>
      </c>
      <c r="L95" s="20">
        <f t="shared" si="6"/>
        <v>1900824732</v>
      </c>
      <c r="M95" s="20">
        <f t="shared" si="6"/>
        <v>338930578</v>
      </c>
      <c r="N95" s="20">
        <f t="shared" si="6"/>
        <v>528724444</v>
      </c>
      <c r="O95" s="20">
        <f t="shared" si="6"/>
        <v>11552524</v>
      </c>
      <c r="P95" s="20">
        <f t="shared" si="6"/>
        <v>385390830</v>
      </c>
      <c r="Q95" s="20">
        <f t="shared" si="6"/>
        <v>1298009306</v>
      </c>
      <c r="R95" s="20">
        <f t="shared" si="6"/>
        <v>33798071</v>
      </c>
      <c r="S95" s="20">
        <f t="shared" si="6"/>
        <v>715925563</v>
      </c>
      <c r="T95" s="20">
        <f t="shared" si="6"/>
        <v>3513293</v>
      </c>
      <c r="U95" s="20">
        <f t="shared" si="6"/>
        <v>20547836</v>
      </c>
      <c r="V95" s="20">
        <f t="shared" si="6"/>
        <v>18036997604</v>
      </c>
      <c r="W95" s="20">
        <f t="shared" si="6"/>
        <v>2512293769</v>
      </c>
      <c r="X95" s="20">
        <f t="shared" si="6"/>
        <v>4278175918</v>
      </c>
      <c r="Y95" s="20">
        <f t="shared" si="6"/>
        <v>2135080223</v>
      </c>
      <c r="Z95" s="20">
        <f t="shared" si="6"/>
        <v>522326579</v>
      </c>
      <c r="AA95" s="20">
        <f t="shared" si="6"/>
        <v>4262794000</v>
      </c>
      <c r="AB95" s="20">
        <f t="shared" si="6"/>
        <v>591490895</v>
      </c>
    </row>
    <row r="96" spans="1:30" ht="13.5" thickTop="1" x14ac:dyDescent="0.2">
      <c r="A96" s="554"/>
      <c r="B96" s="554"/>
      <c r="C96" s="554"/>
      <c r="D96" s="554"/>
      <c r="E96" s="550"/>
      <c r="F96" s="550"/>
      <c r="G96" s="12"/>
      <c r="H96" s="12"/>
      <c r="I96" s="12"/>
      <c r="J96" s="12"/>
      <c r="K96" s="12"/>
      <c r="L96" s="12"/>
      <c r="M96" s="12"/>
      <c r="N96" s="12"/>
      <c r="O96" s="12"/>
      <c r="P96" s="12"/>
      <c r="Q96" s="12"/>
      <c r="R96" s="12"/>
      <c r="S96" s="12"/>
      <c r="T96" s="12"/>
      <c r="U96" s="12"/>
      <c r="V96" s="12"/>
      <c r="W96" s="12"/>
      <c r="X96" s="12"/>
      <c r="Y96" s="12"/>
      <c r="Z96" s="12"/>
      <c r="AA96" s="12"/>
      <c r="AB96" s="12"/>
    </row>
    <row r="97" spans="1:28" x14ac:dyDescent="0.2">
      <c r="A97" s="547" t="s">
        <v>721</v>
      </c>
      <c r="B97" s="554"/>
      <c r="C97" s="554"/>
      <c r="D97" s="554"/>
      <c r="E97" s="550"/>
      <c r="F97" s="550"/>
      <c r="G97" s="12"/>
      <c r="H97" s="12"/>
      <c r="I97" s="12"/>
      <c r="J97" s="12"/>
      <c r="K97" s="12"/>
      <c r="L97" s="12"/>
      <c r="M97" s="12"/>
      <c r="N97" s="12"/>
      <c r="O97" s="12"/>
      <c r="P97" s="12"/>
      <c r="Q97" s="12"/>
      <c r="R97" s="12"/>
      <c r="S97" s="12"/>
      <c r="T97" s="12"/>
      <c r="U97" s="12"/>
      <c r="V97" s="12"/>
      <c r="W97" s="12"/>
      <c r="X97" s="12"/>
      <c r="Y97" s="12"/>
      <c r="Z97" s="12"/>
      <c r="AA97" s="12"/>
      <c r="AB97" s="12"/>
    </row>
    <row r="98" spans="1:28" x14ac:dyDescent="0.2">
      <c r="A98" s="554" t="s">
        <v>212</v>
      </c>
      <c r="B98" s="554"/>
      <c r="C98" s="554"/>
      <c r="D98" s="554"/>
      <c r="E98" s="550"/>
      <c r="F98" s="555"/>
      <c r="G98" s="209"/>
      <c r="H98" s="209"/>
      <c r="I98" s="209"/>
      <c r="J98" s="209"/>
      <c r="K98" s="209"/>
      <c r="L98" s="209"/>
      <c r="M98" s="209"/>
      <c r="N98" s="209"/>
      <c r="O98" s="209"/>
      <c r="P98" s="209"/>
      <c r="Q98" s="209"/>
      <c r="R98" s="209"/>
      <c r="S98" s="209"/>
      <c r="T98" s="209"/>
      <c r="U98" s="209"/>
      <c r="V98" s="209"/>
      <c r="W98" s="209"/>
      <c r="X98" s="209"/>
      <c r="Y98" s="209"/>
      <c r="Z98" s="209"/>
      <c r="AA98" s="209"/>
      <c r="AB98" s="209"/>
    </row>
    <row r="99" spans="1:28" x14ac:dyDescent="0.2">
      <c r="A99" s="554"/>
      <c r="B99" s="561" t="s">
        <v>293</v>
      </c>
      <c r="C99" s="554"/>
      <c r="D99" s="554"/>
      <c r="E99" s="550"/>
      <c r="F99" s="555"/>
      <c r="G99" s="811"/>
      <c r="H99" s="811">
        <v>5659058</v>
      </c>
      <c r="I99" s="811">
        <v>33718915</v>
      </c>
      <c r="J99" s="811">
        <v>33440407</v>
      </c>
      <c r="K99" s="811">
        <v>2448893</v>
      </c>
      <c r="L99" s="811">
        <v>12709759</v>
      </c>
      <c r="M99" s="811">
        <v>4744949</v>
      </c>
      <c r="N99" s="811">
        <v>6188891</v>
      </c>
      <c r="O99" s="811">
        <v>44738</v>
      </c>
      <c r="P99" s="1119">
        <f>18433923-9370512</f>
        <v>9063411</v>
      </c>
      <c r="Q99" s="1119">
        <f>52435806+42177</f>
        <v>52477983</v>
      </c>
      <c r="R99" s="811">
        <v>90425</v>
      </c>
      <c r="S99" s="811">
        <v>10529273</v>
      </c>
      <c r="T99" s="1122">
        <f>186750+2719</f>
        <v>189469</v>
      </c>
      <c r="U99" s="1125">
        <f>444710+498</f>
        <v>445208</v>
      </c>
      <c r="V99" s="1122">
        <f>357563950+429076+13134011-37276995-14592652</f>
        <v>319257390</v>
      </c>
      <c r="W99" s="811">
        <v>25074311</v>
      </c>
      <c r="X99" s="811">
        <v>122653947</v>
      </c>
      <c r="Y99" s="1125">
        <f>39305222+211924</f>
        <v>39517146</v>
      </c>
      <c r="Z99" s="811">
        <v>3367955</v>
      </c>
      <c r="AA99" s="1125">
        <f>98239000+69000</f>
        <v>98308000</v>
      </c>
      <c r="AB99" s="811">
        <v>18313923</v>
      </c>
    </row>
    <row r="100" spans="1:28" x14ac:dyDescent="0.2">
      <c r="A100" s="554"/>
      <c r="B100" s="561" t="s">
        <v>294</v>
      </c>
      <c r="C100" s="554"/>
      <c r="D100" s="554"/>
      <c r="E100" s="550"/>
      <c r="F100" s="555"/>
      <c r="G100" s="811"/>
      <c r="H100" s="811">
        <v>11837189</v>
      </c>
      <c r="I100" s="811">
        <v>31820442</v>
      </c>
      <c r="J100" s="811">
        <v>50688612</v>
      </c>
      <c r="K100" s="811">
        <v>1110</v>
      </c>
      <c r="L100" s="811">
        <v>40946807</v>
      </c>
      <c r="M100" s="811">
        <v>5094455</v>
      </c>
      <c r="N100" s="811">
        <v>7175340</v>
      </c>
      <c r="O100" s="811">
        <v>78143</v>
      </c>
      <c r="P100" s="1119">
        <f>0+9212512</f>
        <v>9212512</v>
      </c>
      <c r="Q100" s="811">
        <v>19547657</v>
      </c>
      <c r="R100" s="811">
        <v>67152</v>
      </c>
      <c r="S100" s="811">
        <v>13581613</v>
      </c>
      <c r="T100" s="811">
        <v>182384</v>
      </c>
      <c r="U100" s="811">
        <v>116212</v>
      </c>
      <c r="V100" s="1122">
        <f>112552246+205065</f>
        <v>112757311</v>
      </c>
      <c r="W100" s="811">
        <v>85628259</v>
      </c>
      <c r="X100" s="811">
        <v>67519520</v>
      </c>
      <c r="Y100" s="811">
        <v>56873983</v>
      </c>
      <c r="Z100" s="811">
        <v>5162988</v>
      </c>
      <c r="AA100" s="811">
        <v>112806000</v>
      </c>
      <c r="AB100" s="811">
        <v>5007415</v>
      </c>
    </row>
    <row r="101" spans="1:28" x14ac:dyDescent="0.2">
      <c r="A101" s="554"/>
      <c r="B101" s="561" t="s">
        <v>597</v>
      </c>
      <c r="C101" s="554"/>
      <c r="D101" s="554"/>
      <c r="E101" s="550"/>
      <c r="F101" s="555"/>
      <c r="G101" s="811"/>
      <c r="H101" s="811">
        <v>414398</v>
      </c>
      <c r="I101" s="811">
        <v>10893693</v>
      </c>
      <c r="J101" s="811">
        <v>2374261</v>
      </c>
      <c r="K101" s="811">
        <v>0</v>
      </c>
      <c r="L101" s="811">
        <v>864052</v>
      </c>
      <c r="M101" s="811">
        <v>382816</v>
      </c>
      <c r="N101" s="811">
        <v>449341</v>
      </c>
      <c r="O101" s="811">
        <v>0</v>
      </c>
      <c r="P101" s="1119">
        <f>0+158000</f>
        <v>158000</v>
      </c>
      <c r="Q101" s="811">
        <v>3135092</v>
      </c>
      <c r="R101" s="811">
        <v>0</v>
      </c>
      <c r="S101" s="811">
        <v>291095</v>
      </c>
      <c r="T101" s="811">
        <v>0</v>
      </c>
      <c r="U101" s="811">
        <v>0</v>
      </c>
      <c r="V101" s="811">
        <v>19102762</v>
      </c>
      <c r="W101" s="811">
        <v>2655298</v>
      </c>
      <c r="X101" s="811">
        <v>9505667</v>
      </c>
      <c r="Y101" s="811">
        <v>2424867</v>
      </c>
      <c r="Z101" s="811">
        <v>74244</v>
      </c>
      <c r="AA101" s="811">
        <v>16864000</v>
      </c>
      <c r="AB101" s="811">
        <v>690112</v>
      </c>
    </row>
    <row r="102" spans="1:28" x14ac:dyDescent="0.2">
      <c r="A102" s="554"/>
      <c r="B102" s="561" t="s">
        <v>482</v>
      </c>
      <c r="C102" s="554"/>
      <c r="D102" s="554"/>
      <c r="E102" s="550"/>
      <c r="F102" s="555"/>
      <c r="G102" s="811"/>
      <c r="H102" s="811">
        <v>0</v>
      </c>
      <c r="I102" s="811">
        <v>0</v>
      </c>
      <c r="J102" s="811">
        <v>0</v>
      </c>
      <c r="K102" s="811">
        <v>50002</v>
      </c>
      <c r="L102" s="811">
        <v>0</v>
      </c>
      <c r="M102" s="811">
        <v>0</v>
      </c>
      <c r="N102" s="811">
        <v>0</v>
      </c>
      <c r="O102" s="811">
        <v>0</v>
      </c>
      <c r="P102" s="811">
        <v>0</v>
      </c>
      <c r="Q102" s="811">
        <v>0</v>
      </c>
      <c r="R102" s="811">
        <v>0</v>
      </c>
      <c r="S102" s="811">
        <v>0</v>
      </c>
      <c r="T102" s="811">
        <v>0</v>
      </c>
      <c r="U102" s="811">
        <v>0</v>
      </c>
      <c r="V102" s="811">
        <v>0</v>
      </c>
      <c r="W102" s="811">
        <v>0</v>
      </c>
      <c r="X102" s="811">
        <v>0</v>
      </c>
      <c r="Y102" s="811">
        <v>0</v>
      </c>
      <c r="Z102" s="811">
        <v>302643</v>
      </c>
      <c r="AA102" s="811">
        <v>0</v>
      </c>
      <c r="AB102" s="811">
        <v>0</v>
      </c>
    </row>
    <row r="103" spans="1:28" x14ac:dyDescent="0.2">
      <c r="A103" s="554"/>
      <c r="B103" s="554"/>
      <c r="C103" s="554" t="s">
        <v>213</v>
      </c>
      <c r="D103" s="554"/>
      <c r="E103" s="550"/>
      <c r="F103" s="555"/>
      <c r="G103" s="194">
        <f>SUM(G99:G102)</f>
        <v>0</v>
      </c>
      <c r="H103" s="194">
        <f t="shared" ref="H103:AB103" si="7">SUM(H99:H102)</f>
        <v>17910645</v>
      </c>
      <c r="I103" s="194">
        <f t="shared" si="7"/>
        <v>76433050</v>
      </c>
      <c r="J103" s="194">
        <f t="shared" si="7"/>
        <v>86503280</v>
      </c>
      <c r="K103" s="194">
        <f t="shared" si="7"/>
        <v>2500005</v>
      </c>
      <c r="L103" s="194">
        <f t="shared" si="7"/>
        <v>54520618</v>
      </c>
      <c r="M103" s="194">
        <f t="shared" si="7"/>
        <v>10222220</v>
      </c>
      <c r="N103" s="194">
        <f t="shared" si="7"/>
        <v>13813572</v>
      </c>
      <c r="O103" s="194">
        <f t="shared" si="7"/>
        <v>122881</v>
      </c>
      <c r="P103" s="194">
        <f t="shared" si="7"/>
        <v>18433923</v>
      </c>
      <c r="Q103" s="194">
        <f t="shared" si="7"/>
        <v>75160732</v>
      </c>
      <c r="R103" s="194">
        <f t="shared" si="7"/>
        <v>157577</v>
      </c>
      <c r="S103" s="194">
        <f t="shared" si="7"/>
        <v>24401981</v>
      </c>
      <c r="T103" s="194">
        <f t="shared" si="7"/>
        <v>371853</v>
      </c>
      <c r="U103" s="194">
        <f t="shared" si="7"/>
        <v>561420</v>
      </c>
      <c r="V103" s="194">
        <f t="shared" si="7"/>
        <v>451117463</v>
      </c>
      <c r="W103" s="194">
        <f t="shared" si="7"/>
        <v>113357868</v>
      </c>
      <c r="X103" s="194">
        <f t="shared" si="7"/>
        <v>199679134</v>
      </c>
      <c r="Y103" s="194">
        <f t="shared" si="7"/>
        <v>98815996</v>
      </c>
      <c r="Z103" s="194">
        <f t="shared" si="7"/>
        <v>8907830</v>
      </c>
      <c r="AA103" s="194">
        <f t="shared" si="7"/>
        <v>227978000</v>
      </c>
      <c r="AB103" s="194">
        <f t="shared" si="7"/>
        <v>24011450</v>
      </c>
    </row>
    <row r="104" spans="1:28" x14ac:dyDescent="0.2">
      <c r="A104" s="554" t="s">
        <v>599</v>
      </c>
      <c r="B104" s="554"/>
      <c r="C104" s="554"/>
      <c r="D104" s="554"/>
      <c r="E104" s="550"/>
      <c r="F104" s="555"/>
      <c r="G104" s="192"/>
      <c r="H104" s="192">
        <v>0</v>
      </c>
      <c r="I104" s="192">
        <v>0</v>
      </c>
      <c r="J104" s="192">
        <v>0</v>
      </c>
      <c r="K104" s="192">
        <v>0</v>
      </c>
      <c r="L104" s="192">
        <v>0</v>
      </c>
      <c r="M104" s="192">
        <v>0</v>
      </c>
      <c r="N104" s="192">
        <v>0</v>
      </c>
      <c r="O104" s="192">
        <v>0</v>
      </c>
      <c r="P104" s="192">
        <v>0</v>
      </c>
      <c r="Q104" s="192">
        <v>0</v>
      </c>
      <c r="R104" s="192">
        <v>0</v>
      </c>
      <c r="S104" s="192">
        <v>0</v>
      </c>
      <c r="T104" s="192">
        <v>0</v>
      </c>
      <c r="U104" s="192">
        <v>0</v>
      </c>
      <c r="V104" s="192">
        <v>0</v>
      </c>
      <c r="W104" s="192">
        <v>0</v>
      </c>
      <c r="X104" s="192">
        <v>0</v>
      </c>
      <c r="Y104" s="192">
        <v>0</v>
      </c>
      <c r="Z104" s="192">
        <v>0</v>
      </c>
      <c r="AA104" s="192">
        <v>0</v>
      </c>
      <c r="AB104" s="192">
        <v>0</v>
      </c>
    </row>
    <row r="105" spans="1:28" x14ac:dyDescent="0.2">
      <c r="A105" s="554" t="s">
        <v>526</v>
      </c>
      <c r="B105" s="554"/>
      <c r="C105" s="554"/>
      <c r="D105" s="554"/>
      <c r="E105" s="550"/>
      <c r="F105" s="555"/>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row>
    <row r="106" spans="1:28" x14ac:dyDescent="0.2">
      <c r="A106" s="554"/>
      <c r="B106" s="554"/>
      <c r="C106" s="556" t="s">
        <v>15</v>
      </c>
      <c r="D106" s="554"/>
      <c r="E106" s="550"/>
      <c r="F106" s="555"/>
      <c r="G106" s="198">
        <f>SUM(G103:G104)</f>
        <v>0</v>
      </c>
      <c r="H106" s="198">
        <f t="shared" ref="H106:AB106" si="8">SUM(H103:H104)</f>
        <v>17910645</v>
      </c>
      <c r="I106" s="198">
        <f t="shared" si="8"/>
        <v>76433050</v>
      </c>
      <c r="J106" s="198">
        <f t="shared" si="8"/>
        <v>86503280</v>
      </c>
      <c r="K106" s="198">
        <f t="shared" si="8"/>
        <v>2500005</v>
      </c>
      <c r="L106" s="198">
        <f t="shared" si="8"/>
        <v>54520618</v>
      </c>
      <c r="M106" s="198">
        <f t="shared" si="8"/>
        <v>10222220</v>
      </c>
      <c r="N106" s="198">
        <f t="shared" si="8"/>
        <v>13813572</v>
      </c>
      <c r="O106" s="198">
        <f t="shared" si="8"/>
        <v>122881</v>
      </c>
      <c r="P106" s="198">
        <f t="shared" si="8"/>
        <v>18433923</v>
      </c>
      <c r="Q106" s="198">
        <f t="shared" si="8"/>
        <v>75160732</v>
      </c>
      <c r="R106" s="198">
        <f t="shared" si="8"/>
        <v>157577</v>
      </c>
      <c r="S106" s="198">
        <f t="shared" si="8"/>
        <v>24401981</v>
      </c>
      <c r="T106" s="198">
        <f t="shared" si="8"/>
        <v>371853</v>
      </c>
      <c r="U106" s="198">
        <f t="shared" si="8"/>
        <v>561420</v>
      </c>
      <c r="V106" s="198">
        <f t="shared" si="8"/>
        <v>451117463</v>
      </c>
      <c r="W106" s="198">
        <f t="shared" si="8"/>
        <v>113357868</v>
      </c>
      <c r="X106" s="198">
        <f t="shared" si="8"/>
        <v>199679134</v>
      </c>
      <c r="Y106" s="198">
        <f t="shared" si="8"/>
        <v>98815996</v>
      </c>
      <c r="Z106" s="198">
        <f t="shared" si="8"/>
        <v>8907830</v>
      </c>
      <c r="AA106" s="198">
        <f t="shared" si="8"/>
        <v>227978000</v>
      </c>
      <c r="AB106" s="198">
        <f t="shared" si="8"/>
        <v>24011450</v>
      </c>
    </row>
    <row r="107" spans="1:28" x14ac:dyDescent="0.2">
      <c r="A107" s="554"/>
      <c r="B107" s="554"/>
      <c r="C107" s="554"/>
      <c r="D107" s="554"/>
      <c r="E107" s="550"/>
      <c r="F107" s="550"/>
      <c r="G107" s="12"/>
      <c r="H107" s="12"/>
      <c r="I107" s="12"/>
      <c r="J107" s="12"/>
      <c r="K107" s="12"/>
      <c r="L107" s="12"/>
      <c r="M107" s="12"/>
      <c r="N107" s="12"/>
      <c r="O107" s="12"/>
      <c r="P107" s="12"/>
      <c r="Q107" s="12"/>
      <c r="R107" s="12"/>
      <c r="S107" s="12"/>
      <c r="T107" s="12"/>
      <c r="U107" s="12"/>
      <c r="V107" s="12"/>
      <c r="W107" s="12"/>
      <c r="X107" s="12"/>
      <c r="Y107" s="12"/>
      <c r="Z107" s="12"/>
      <c r="AA107" s="12"/>
      <c r="AB107" s="12"/>
    </row>
    <row r="108" spans="1:28" x14ac:dyDescent="0.2">
      <c r="A108" s="556" t="s">
        <v>79</v>
      </c>
      <c r="B108" s="554"/>
      <c r="C108" s="554"/>
      <c r="D108" s="554"/>
      <c r="E108" s="550"/>
      <c r="F108" s="550"/>
      <c r="G108" s="192"/>
      <c r="H108" s="811">
        <v>0</v>
      </c>
      <c r="I108" s="811">
        <v>0</v>
      </c>
      <c r="J108" s="811">
        <v>0</v>
      </c>
      <c r="K108" s="811">
        <v>0</v>
      </c>
      <c r="L108" s="811">
        <v>0</v>
      </c>
      <c r="M108" s="811">
        <v>0</v>
      </c>
      <c r="N108" s="811">
        <v>0</v>
      </c>
      <c r="O108" s="811">
        <v>0</v>
      </c>
      <c r="P108" s="811">
        <v>0</v>
      </c>
      <c r="Q108" s="811">
        <v>0</v>
      </c>
      <c r="R108" s="811">
        <v>0</v>
      </c>
      <c r="S108" s="811">
        <v>0</v>
      </c>
      <c r="T108" s="811">
        <v>0</v>
      </c>
      <c r="U108" s="811">
        <v>0</v>
      </c>
      <c r="V108" s="811">
        <v>0</v>
      </c>
      <c r="W108" s="811">
        <v>0</v>
      </c>
      <c r="X108" s="811">
        <v>0</v>
      </c>
      <c r="Y108" s="811">
        <v>1163939</v>
      </c>
      <c r="Z108" s="811">
        <v>336848</v>
      </c>
      <c r="AA108" s="811">
        <v>0</v>
      </c>
      <c r="AB108" s="811">
        <v>0</v>
      </c>
    </row>
    <row r="109" spans="1:28" x14ac:dyDescent="0.2">
      <c r="A109" s="556" t="s">
        <v>722</v>
      </c>
      <c r="B109" s="554"/>
      <c r="C109" s="554"/>
      <c r="D109" s="554"/>
      <c r="E109" s="550"/>
      <c r="F109" s="550"/>
      <c r="G109" s="192"/>
      <c r="H109" s="811">
        <v>0</v>
      </c>
      <c r="I109" s="811">
        <v>0</v>
      </c>
      <c r="J109" s="811">
        <v>0</v>
      </c>
      <c r="K109" s="811">
        <v>0</v>
      </c>
      <c r="L109" s="811">
        <v>0</v>
      </c>
      <c r="M109" s="811">
        <v>0</v>
      </c>
      <c r="N109" s="811">
        <v>243</v>
      </c>
      <c r="O109" s="811">
        <v>0</v>
      </c>
      <c r="P109" s="811">
        <v>0</v>
      </c>
      <c r="Q109" s="811">
        <v>0</v>
      </c>
      <c r="R109" s="811">
        <v>0</v>
      </c>
      <c r="S109" s="811">
        <v>0</v>
      </c>
      <c r="T109" s="811">
        <v>0</v>
      </c>
      <c r="U109" s="811">
        <v>0</v>
      </c>
      <c r="V109" s="811">
        <v>0</v>
      </c>
      <c r="W109" s="811">
        <v>0</v>
      </c>
      <c r="X109" s="811">
        <v>0</v>
      </c>
      <c r="Y109" s="811">
        <v>0</v>
      </c>
      <c r="Z109" s="811">
        <v>0</v>
      </c>
      <c r="AA109" s="811">
        <v>0</v>
      </c>
      <c r="AB109" s="811">
        <v>0</v>
      </c>
    </row>
    <row r="110" spans="1:28" x14ac:dyDescent="0.2">
      <c r="A110" s="545" t="s">
        <v>1020</v>
      </c>
      <c r="B110" s="554"/>
      <c r="C110" s="554"/>
      <c r="D110" s="554"/>
      <c r="E110" s="550"/>
      <c r="F110" s="550"/>
      <c r="G110" s="192"/>
      <c r="H110" s="811">
        <v>0</v>
      </c>
      <c r="I110" s="811">
        <v>0</v>
      </c>
      <c r="J110" s="811">
        <v>2171418</v>
      </c>
      <c r="K110" s="811">
        <v>0</v>
      </c>
      <c r="L110" s="811">
        <v>0</v>
      </c>
      <c r="M110" s="811">
        <v>0</v>
      </c>
      <c r="N110" s="811">
        <v>0</v>
      </c>
      <c r="O110" s="811">
        <v>0</v>
      </c>
      <c r="P110" s="811">
        <v>0</v>
      </c>
      <c r="Q110" s="811">
        <v>1289581</v>
      </c>
      <c r="R110" s="811">
        <v>0</v>
      </c>
      <c r="S110" s="811">
        <v>784461</v>
      </c>
      <c r="T110" s="811">
        <v>0</v>
      </c>
      <c r="U110" s="811">
        <v>0</v>
      </c>
      <c r="V110" s="811">
        <v>0</v>
      </c>
      <c r="W110" s="811">
        <v>0</v>
      </c>
      <c r="X110" s="811">
        <v>0</v>
      </c>
      <c r="Y110" s="811">
        <v>0</v>
      </c>
      <c r="Z110" s="811">
        <v>0</v>
      </c>
      <c r="AA110" s="811">
        <v>1794000</v>
      </c>
      <c r="AB110" s="811">
        <v>0</v>
      </c>
    </row>
    <row r="111" spans="1:28" x14ac:dyDescent="0.2">
      <c r="A111" s="556" t="s">
        <v>723</v>
      </c>
      <c r="B111" s="554"/>
      <c r="C111" s="554"/>
      <c r="D111" s="554"/>
      <c r="E111" s="550"/>
      <c r="F111" s="550"/>
      <c r="G111" s="192"/>
      <c r="H111" s="811">
        <v>0</v>
      </c>
      <c r="I111" s="811">
        <v>0</v>
      </c>
      <c r="J111" s="811">
        <v>0</v>
      </c>
      <c r="K111" s="811">
        <v>0</v>
      </c>
      <c r="L111" s="811">
        <v>0</v>
      </c>
      <c r="M111" s="811">
        <v>0</v>
      </c>
      <c r="N111" s="811">
        <v>0</v>
      </c>
      <c r="O111" s="811">
        <v>0</v>
      </c>
      <c r="P111" s="811">
        <v>0</v>
      </c>
      <c r="Q111" s="811">
        <v>0</v>
      </c>
      <c r="R111" s="811">
        <v>0</v>
      </c>
      <c r="S111" s="811">
        <v>0</v>
      </c>
      <c r="T111" s="811">
        <v>0</v>
      </c>
      <c r="U111" s="811">
        <v>0</v>
      </c>
      <c r="V111" s="811">
        <v>0</v>
      </c>
      <c r="W111" s="811">
        <v>0</v>
      </c>
      <c r="X111" s="811">
        <v>0</v>
      </c>
      <c r="Y111" s="811">
        <v>0</v>
      </c>
      <c r="Z111" s="811">
        <v>0</v>
      </c>
      <c r="AA111" s="811">
        <v>0</v>
      </c>
      <c r="AB111" s="811">
        <v>0</v>
      </c>
    </row>
    <row r="112" spans="1:28" x14ac:dyDescent="0.2">
      <c r="A112" s="554" t="s">
        <v>518</v>
      </c>
      <c r="B112" s="554"/>
      <c r="C112" s="554"/>
      <c r="D112" s="554"/>
      <c r="E112" s="550"/>
      <c r="F112" s="550"/>
      <c r="G112" s="858"/>
      <c r="H112" s="858">
        <v>0</v>
      </c>
      <c r="I112" s="858">
        <v>203039</v>
      </c>
      <c r="J112" s="858">
        <v>0</v>
      </c>
      <c r="K112" s="858">
        <v>0</v>
      </c>
      <c r="L112" s="858">
        <v>0</v>
      </c>
      <c r="M112" s="858">
        <v>0</v>
      </c>
      <c r="N112" s="858">
        <v>209243</v>
      </c>
      <c r="O112" s="858">
        <v>0</v>
      </c>
      <c r="P112" s="858">
        <v>0</v>
      </c>
      <c r="Q112" s="858">
        <v>0</v>
      </c>
      <c r="R112" s="858">
        <v>0</v>
      </c>
      <c r="S112" s="858">
        <v>154040</v>
      </c>
      <c r="T112" s="858">
        <v>0</v>
      </c>
      <c r="U112" s="858">
        <v>0</v>
      </c>
      <c r="V112" s="858">
        <v>102465103</v>
      </c>
      <c r="W112" s="858">
        <v>0</v>
      </c>
      <c r="X112" s="858">
        <v>0</v>
      </c>
      <c r="Y112" s="858">
        <v>17992</v>
      </c>
      <c r="Z112" s="858">
        <v>0</v>
      </c>
      <c r="AA112" s="858">
        <v>0</v>
      </c>
      <c r="AB112" s="858">
        <v>102057</v>
      </c>
    </row>
    <row r="113" spans="1:28" x14ac:dyDescent="0.2">
      <c r="A113" s="556" t="s">
        <v>216</v>
      </c>
      <c r="B113" s="554"/>
      <c r="C113" s="554"/>
      <c r="D113" s="554"/>
      <c r="E113" s="550"/>
      <c r="F113" s="555"/>
      <c r="G113" s="192"/>
      <c r="H113" s="811">
        <v>1647405</v>
      </c>
      <c r="I113" s="811">
        <v>15929328</v>
      </c>
      <c r="J113" s="811">
        <v>110643109</v>
      </c>
      <c r="K113" s="811">
        <v>3976624</v>
      </c>
      <c r="L113" s="811">
        <v>21077898</v>
      </c>
      <c r="M113" s="1119">
        <f>3413089+575000</f>
        <v>3988089</v>
      </c>
      <c r="N113" s="811">
        <v>1117803</v>
      </c>
      <c r="O113" s="811">
        <v>0</v>
      </c>
      <c r="P113" s="811">
        <v>4657108</v>
      </c>
      <c r="Q113" s="811">
        <v>33654775</v>
      </c>
      <c r="R113" s="811">
        <v>163025</v>
      </c>
      <c r="S113" s="811">
        <v>10548128</v>
      </c>
      <c r="T113" s="811">
        <v>0</v>
      </c>
      <c r="U113" s="811">
        <v>12757</v>
      </c>
      <c r="V113" s="811">
        <v>66502220</v>
      </c>
      <c r="W113" s="811">
        <v>69849044</v>
      </c>
      <c r="X113" s="811">
        <v>5000643</v>
      </c>
      <c r="Y113" s="811">
        <v>44560605</v>
      </c>
      <c r="Z113" s="811">
        <v>1655169</v>
      </c>
      <c r="AA113" s="811">
        <v>56882000</v>
      </c>
      <c r="AB113" s="811">
        <v>4860845</v>
      </c>
    </row>
    <row r="114" spans="1:28" x14ac:dyDescent="0.2">
      <c r="A114" s="556" t="s">
        <v>234</v>
      </c>
      <c r="B114" s="554"/>
      <c r="C114" s="554"/>
      <c r="D114" s="554"/>
      <c r="E114" s="550"/>
      <c r="F114" s="550"/>
      <c r="G114" s="192"/>
      <c r="H114" s="811">
        <v>2955244</v>
      </c>
      <c r="I114" s="811">
        <v>214289</v>
      </c>
      <c r="J114" s="811">
        <v>55158589</v>
      </c>
      <c r="K114" s="811">
        <v>0</v>
      </c>
      <c r="L114" s="811">
        <v>18380983</v>
      </c>
      <c r="M114" s="811">
        <v>162573</v>
      </c>
      <c r="N114" s="811">
        <v>682615</v>
      </c>
      <c r="O114" s="811">
        <v>0</v>
      </c>
      <c r="P114" s="811">
        <v>2472025</v>
      </c>
      <c r="Q114" s="811">
        <v>10955790</v>
      </c>
      <c r="R114" s="811">
        <v>0</v>
      </c>
      <c r="S114" s="811">
        <v>12906774</v>
      </c>
      <c r="T114" s="811">
        <v>0</v>
      </c>
      <c r="U114" s="811">
        <v>0</v>
      </c>
      <c r="V114" s="811">
        <v>0</v>
      </c>
      <c r="W114" s="811">
        <v>0</v>
      </c>
      <c r="X114" s="811">
        <v>0</v>
      </c>
      <c r="Y114" s="811">
        <v>86074</v>
      </c>
      <c r="Z114" s="811">
        <v>1865427</v>
      </c>
      <c r="AA114" s="811">
        <v>0</v>
      </c>
      <c r="AB114" s="811">
        <v>3653281</v>
      </c>
    </row>
    <row r="115" spans="1:28" x14ac:dyDescent="0.2">
      <c r="A115" s="554"/>
      <c r="B115" s="554"/>
      <c r="C115" s="554"/>
      <c r="D115" s="554"/>
      <c r="E115" s="550"/>
      <c r="F115" s="550"/>
      <c r="G115" s="12"/>
      <c r="H115" s="12"/>
      <c r="I115" s="12"/>
      <c r="J115" s="12"/>
      <c r="K115" s="12"/>
      <c r="L115" s="12"/>
      <c r="M115" s="12"/>
      <c r="N115" s="12"/>
      <c r="O115" s="12"/>
      <c r="P115" s="12"/>
      <c r="Q115" s="12"/>
      <c r="R115" s="12"/>
      <c r="S115" s="12"/>
      <c r="T115" s="12"/>
      <c r="U115" s="12"/>
      <c r="V115" s="12"/>
      <c r="W115" s="12"/>
      <c r="X115" s="12"/>
      <c r="Y115" s="12"/>
      <c r="Z115" s="12"/>
      <c r="AA115" s="12"/>
      <c r="AB115" s="12"/>
    </row>
    <row r="116" spans="1:28" x14ac:dyDescent="0.2">
      <c r="A116" s="554" t="s">
        <v>16</v>
      </c>
      <c r="B116" s="554"/>
      <c r="C116" s="554"/>
      <c r="D116" s="554"/>
      <c r="E116" s="550"/>
      <c r="F116" s="550"/>
      <c r="G116" s="192"/>
      <c r="H116" s="811">
        <v>647448</v>
      </c>
      <c r="I116" s="811">
        <v>3239397</v>
      </c>
      <c r="J116" s="811">
        <v>4175581</v>
      </c>
      <c r="K116" s="811">
        <v>0</v>
      </c>
      <c r="L116" s="811">
        <v>3442451</v>
      </c>
      <c r="M116" s="811">
        <v>401164</v>
      </c>
      <c r="N116" s="811">
        <v>2660432</v>
      </c>
      <c r="O116" s="811">
        <v>0</v>
      </c>
      <c r="P116" s="811">
        <v>0</v>
      </c>
      <c r="Q116" s="811">
        <v>1601451</v>
      </c>
      <c r="R116" s="811">
        <v>0</v>
      </c>
      <c r="S116" s="811">
        <v>175268</v>
      </c>
      <c r="T116" s="811">
        <v>0</v>
      </c>
      <c r="U116" s="811">
        <v>0</v>
      </c>
      <c r="V116" s="811">
        <v>36133480</v>
      </c>
      <c r="W116" s="811">
        <v>1999969</v>
      </c>
      <c r="X116" s="811">
        <v>12666961</v>
      </c>
      <c r="Y116" s="811">
        <v>687847</v>
      </c>
      <c r="Z116" s="811">
        <v>185037</v>
      </c>
      <c r="AA116" s="811">
        <v>4222000</v>
      </c>
      <c r="AB116" s="811">
        <v>456600</v>
      </c>
    </row>
    <row r="117" spans="1:28" x14ac:dyDescent="0.2">
      <c r="A117" s="554" t="s">
        <v>760</v>
      </c>
      <c r="B117" s="554"/>
      <c r="C117" s="554"/>
      <c r="D117" s="554"/>
      <c r="E117" s="550"/>
      <c r="F117" s="550"/>
      <c r="G117" s="192"/>
      <c r="H117" s="811">
        <v>0</v>
      </c>
      <c r="I117" s="811">
        <v>2135</v>
      </c>
      <c r="J117" s="811">
        <v>0</v>
      </c>
      <c r="K117" s="811">
        <v>0</v>
      </c>
      <c r="L117" s="811">
        <v>0</v>
      </c>
      <c r="M117" s="811">
        <v>0</v>
      </c>
      <c r="N117" s="811">
        <v>0</v>
      </c>
      <c r="O117" s="811">
        <v>0</v>
      </c>
      <c r="P117" s="811">
        <v>0</v>
      </c>
      <c r="Q117" s="811">
        <v>175494</v>
      </c>
      <c r="R117" s="811">
        <v>0</v>
      </c>
      <c r="S117" s="811">
        <v>0</v>
      </c>
      <c r="T117" s="811">
        <v>0</v>
      </c>
      <c r="U117" s="811">
        <v>0</v>
      </c>
      <c r="V117" s="811">
        <v>12618992</v>
      </c>
      <c r="W117" s="811">
        <v>0</v>
      </c>
      <c r="X117" s="811">
        <v>152372398</v>
      </c>
      <c r="Y117" s="811">
        <v>0</v>
      </c>
      <c r="Z117" s="811">
        <v>0</v>
      </c>
      <c r="AA117" s="811">
        <v>1343000</v>
      </c>
      <c r="AB117" s="811">
        <v>17465</v>
      </c>
    </row>
    <row r="118" spans="1:28" x14ac:dyDescent="0.2">
      <c r="A118" s="554" t="s">
        <v>335</v>
      </c>
      <c r="B118" s="554"/>
      <c r="C118" s="554"/>
      <c r="D118" s="554"/>
      <c r="E118" s="550"/>
      <c r="F118" s="550"/>
      <c r="G118" s="192"/>
      <c r="H118" s="811">
        <v>2650108</v>
      </c>
      <c r="I118" s="811">
        <v>712071</v>
      </c>
      <c r="J118" s="811">
        <v>798302</v>
      </c>
      <c r="K118" s="811">
        <v>53817</v>
      </c>
      <c r="L118" s="811">
        <v>562804</v>
      </c>
      <c r="M118" s="811">
        <v>427163</v>
      </c>
      <c r="N118" s="811">
        <v>1175671</v>
      </c>
      <c r="O118" s="811">
        <v>0</v>
      </c>
      <c r="P118" s="811">
        <v>2884248</v>
      </c>
      <c r="Q118" s="811">
        <v>1926715</v>
      </c>
      <c r="R118" s="811">
        <v>0</v>
      </c>
      <c r="S118" s="811">
        <v>735940</v>
      </c>
      <c r="T118" s="811">
        <v>0</v>
      </c>
      <c r="U118" s="811">
        <v>0</v>
      </c>
      <c r="V118" s="811">
        <v>0</v>
      </c>
      <c r="W118" s="811">
        <v>15510808</v>
      </c>
      <c r="X118" s="811">
        <v>0</v>
      </c>
      <c r="Y118" s="811">
        <v>8404882</v>
      </c>
      <c r="Z118" s="811">
        <v>665990</v>
      </c>
      <c r="AA118" s="811">
        <v>6783000</v>
      </c>
      <c r="AB118" s="811">
        <v>3705463</v>
      </c>
    </row>
    <row r="119" spans="1:28" x14ac:dyDescent="0.2">
      <c r="A119" s="554" t="s">
        <v>186</v>
      </c>
      <c r="B119" s="554"/>
      <c r="C119" s="554"/>
      <c r="D119" s="554"/>
      <c r="E119" s="550"/>
      <c r="F119" s="550"/>
      <c r="G119" s="192"/>
      <c r="H119" s="811">
        <v>0</v>
      </c>
      <c r="I119" s="811">
        <v>0</v>
      </c>
      <c r="J119" s="811">
        <v>0</v>
      </c>
      <c r="K119" s="811">
        <v>0</v>
      </c>
      <c r="L119" s="811">
        <v>0</v>
      </c>
      <c r="M119" s="811">
        <v>0</v>
      </c>
      <c r="N119" s="811">
        <v>0</v>
      </c>
      <c r="O119" s="811">
        <v>0</v>
      </c>
      <c r="P119" s="811">
        <v>0</v>
      </c>
      <c r="Q119" s="811">
        <v>0</v>
      </c>
      <c r="R119" s="811">
        <v>0</v>
      </c>
      <c r="S119" s="811">
        <v>0</v>
      </c>
      <c r="T119" s="811">
        <v>0</v>
      </c>
      <c r="U119" s="811">
        <v>0</v>
      </c>
      <c r="V119" s="811">
        <v>0</v>
      </c>
      <c r="W119" s="811">
        <v>8501000</v>
      </c>
      <c r="X119" s="811">
        <v>0</v>
      </c>
      <c r="Y119" s="811">
        <v>0</v>
      </c>
      <c r="Z119" s="811">
        <v>0</v>
      </c>
      <c r="AA119" s="811">
        <v>6813000</v>
      </c>
      <c r="AB119" s="811">
        <v>0</v>
      </c>
    </row>
    <row r="120" spans="1:28" x14ac:dyDescent="0.2">
      <c r="A120" s="554" t="s">
        <v>814</v>
      </c>
      <c r="B120" s="554"/>
      <c r="C120" s="554"/>
      <c r="D120" s="554"/>
      <c r="E120" s="550"/>
      <c r="F120" s="550"/>
      <c r="G120" s="192"/>
      <c r="H120" s="811">
        <v>0</v>
      </c>
      <c r="I120" s="811">
        <v>0</v>
      </c>
      <c r="J120" s="811">
        <v>0</v>
      </c>
      <c r="K120" s="811">
        <v>0</v>
      </c>
      <c r="L120" s="811">
        <v>0</v>
      </c>
      <c r="M120" s="811">
        <v>0</v>
      </c>
      <c r="N120" s="811">
        <v>306199</v>
      </c>
      <c r="O120" s="811">
        <v>0</v>
      </c>
      <c r="P120" s="811">
        <v>0</v>
      </c>
      <c r="Q120" s="811">
        <v>0</v>
      </c>
      <c r="R120" s="811">
        <v>0</v>
      </c>
      <c r="S120" s="811">
        <v>0</v>
      </c>
      <c r="T120" s="811">
        <v>0</v>
      </c>
      <c r="U120" s="811">
        <v>0</v>
      </c>
      <c r="V120" s="811">
        <v>0</v>
      </c>
      <c r="W120" s="811">
        <v>0</v>
      </c>
      <c r="X120" s="811">
        <v>0</v>
      </c>
      <c r="Y120" s="811">
        <v>0</v>
      </c>
      <c r="Z120" s="811">
        <v>0</v>
      </c>
      <c r="AA120" s="811">
        <v>0</v>
      </c>
      <c r="AB120" s="811">
        <v>0</v>
      </c>
    </row>
    <row r="121" spans="1:28" x14ac:dyDescent="0.2">
      <c r="A121" s="554"/>
      <c r="B121" s="554"/>
      <c r="C121" s="556" t="s">
        <v>815</v>
      </c>
      <c r="D121" s="554"/>
      <c r="E121" s="550"/>
      <c r="F121" s="550"/>
      <c r="G121" s="15">
        <f>SUM(G116:G120)</f>
        <v>0</v>
      </c>
      <c r="H121" s="15">
        <f t="shared" ref="H121:AB121" si="9">SUM(H116:H120)</f>
        <v>3297556</v>
      </c>
      <c r="I121" s="15">
        <f t="shared" si="9"/>
        <v>3953603</v>
      </c>
      <c r="J121" s="15">
        <f t="shared" si="9"/>
        <v>4973883</v>
      </c>
      <c r="K121" s="15">
        <f t="shared" si="9"/>
        <v>53817</v>
      </c>
      <c r="L121" s="15">
        <f t="shared" si="9"/>
        <v>4005255</v>
      </c>
      <c r="M121" s="15">
        <f t="shared" si="9"/>
        <v>828327</v>
      </c>
      <c r="N121" s="15">
        <f t="shared" si="9"/>
        <v>4142302</v>
      </c>
      <c r="O121" s="15">
        <f t="shared" si="9"/>
        <v>0</v>
      </c>
      <c r="P121" s="15">
        <f t="shared" si="9"/>
        <v>2884248</v>
      </c>
      <c r="Q121" s="15">
        <f t="shared" si="9"/>
        <v>3703660</v>
      </c>
      <c r="R121" s="15">
        <f t="shared" si="9"/>
        <v>0</v>
      </c>
      <c r="S121" s="15">
        <f t="shared" si="9"/>
        <v>911208</v>
      </c>
      <c r="T121" s="15">
        <f t="shared" si="9"/>
        <v>0</v>
      </c>
      <c r="U121" s="15">
        <f t="shared" si="9"/>
        <v>0</v>
      </c>
      <c r="V121" s="15">
        <f t="shared" si="9"/>
        <v>48752472</v>
      </c>
      <c r="W121" s="15">
        <f t="shared" si="9"/>
        <v>26011777</v>
      </c>
      <c r="X121" s="15">
        <f t="shared" si="9"/>
        <v>165039359</v>
      </c>
      <c r="Y121" s="15">
        <f t="shared" si="9"/>
        <v>9092729</v>
      </c>
      <c r="Z121" s="15">
        <f t="shared" si="9"/>
        <v>851027</v>
      </c>
      <c r="AA121" s="15">
        <f t="shared" si="9"/>
        <v>19161000</v>
      </c>
      <c r="AB121" s="15">
        <f t="shared" si="9"/>
        <v>4179528</v>
      </c>
    </row>
    <row r="122" spans="1:28" x14ac:dyDescent="0.2">
      <c r="A122" s="554"/>
      <c r="B122" s="554"/>
      <c r="C122" s="554"/>
      <c r="D122" s="554"/>
      <c r="E122" s="550"/>
      <c r="F122" s="550"/>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spans="1:28" x14ac:dyDescent="0.2">
      <c r="A123" s="556" t="s">
        <v>99</v>
      </c>
      <c r="B123" s="554"/>
      <c r="C123" s="554"/>
      <c r="D123" s="554"/>
      <c r="E123" s="557"/>
      <c r="F123" s="550"/>
      <c r="G123" s="192"/>
      <c r="H123" s="192">
        <v>0</v>
      </c>
      <c r="I123" s="192">
        <v>0</v>
      </c>
      <c r="J123" s="192">
        <v>0</v>
      </c>
      <c r="K123" s="192">
        <v>0</v>
      </c>
      <c r="L123" s="192">
        <v>0</v>
      </c>
      <c r="M123" s="192">
        <v>0</v>
      </c>
      <c r="N123" s="192">
        <v>0</v>
      </c>
      <c r="O123" s="192">
        <v>0</v>
      </c>
      <c r="P123" s="192">
        <v>0</v>
      </c>
      <c r="Q123" s="192">
        <v>0</v>
      </c>
      <c r="R123" s="192">
        <v>0</v>
      </c>
      <c r="S123" s="192">
        <v>0</v>
      </c>
      <c r="T123" s="192">
        <v>0</v>
      </c>
      <c r="U123" s="192">
        <v>0</v>
      </c>
      <c r="V123" s="192">
        <v>0</v>
      </c>
      <c r="W123" s="192">
        <v>0</v>
      </c>
      <c r="X123" s="192">
        <v>0</v>
      </c>
      <c r="Y123" s="192">
        <v>0</v>
      </c>
      <c r="Z123" s="192">
        <v>0</v>
      </c>
      <c r="AA123" s="192">
        <v>0</v>
      </c>
      <c r="AB123" s="192">
        <v>0</v>
      </c>
    </row>
    <row r="124" spans="1:28" x14ac:dyDescent="0.2">
      <c r="A124" s="556" t="s">
        <v>758</v>
      </c>
      <c r="B124" s="554"/>
      <c r="C124" s="554"/>
      <c r="D124" s="554"/>
      <c r="E124" s="550"/>
      <c r="F124" s="550"/>
      <c r="G124" s="192"/>
      <c r="H124" s="192">
        <v>0</v>
      </c>
      <c r="I124" s="192">
        <v>0</v>
      </c>
      <c r="J124" s="192">
        <v>0</v>
      </c>
      <c r="K124" s="192">
        <v>0</v>
      </c>
      <c r="L124" s="192">
        <v>0</v>
      </c>
      <c r="M124" s="192">
        <v>0</v>
      </c>
      <c r="N124" s="192">
        <v>0</v>
      </c>
      <c r="O124" s="192">
        <v>0</v>
      </c>
      <c r="P124" s="192">
        <v>0</v>
      </c>
      <c r="Q124" s="192">
        <v>0</v>
      </c>
      <c r="R124" s="192">
        <v>0</v>
      </c>
      <c r="S124" s="192">
        <v>0</v>
      </c>
      <c r="T124" s="192">
        <v>0</v>
      </c>
      <c r="U124" s="192">
        <v>0</v>
      </c>
      <c r="V124" s="192">
        <v>0</v>
      </c>
      <c r="W124" s="192">
        <v>0</v>
      </c>
      <c r="X124" s="192">
        <v>0</v>
      </c>
      <c r="Y124" s="192">
        <v>0</v>
      </c>
      <c r="Z124" s="192">
        <v>0</v>
      </c>
      <c r="AA124" s="192">
        <v>0</v>
      </c>
      <c r="AB124" s="192">
        <v>0</v>
      </c>
    </row>
    <row r="125" spans="1:28" x14ac:dyDescent="0.2">
      <c r="A125" s="554"/>
      <c r="B125" s="554"/>
      <c r="C125" s="554"/>
      <c r="D125" s="554"/>
      <c r="E125" s="550"/>
      <c r="F125" s="550"/>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spans="1:28" x14ac:dyDescent="0.2">
      <c r="A126" s="18" t="s">
        <v>345</v>
      </c>
      <c r="B126" s="554"/>
      <c r="C126" s="554"/>
      <c r="D126" s="554"/>
      <c r="E126" s="550"/>
      <c r="F126" s="550"/>
      <c r="G126" s="192"/>
      <c r="H126" s="192">
        <v>0</v>
      </c>
      <c r="I126" s="192">
        <v>0</v>
      </c>
      <c r="J126" s="192">
        <v>0</v>
      </c>
      <c r="K126" s="192">
        <v>0</v>
      </c>
      <c r="L126" s="192">
        <v>0</v>
      </c>
      <c r="M126" s="192">
        <v>0</v>
      </c>
      <c r="N126" s="192">
        <v>0</v>
      </c>
      <c r="O126" s="192">
        <v>0</v>
      </c>
      <c r="P126" s="192">
        <v>0</v>
      </c>
      <c r="Q126" s="192">
        <v>0</v>
      </c>
      <c r="R126" s="192">
        <v>0</v>
      </c>
      <c r="S126" s="192">
        <v>0</v>
      </c>
      <c r="T126" s="192">
        <v>0</v>
      </c>
      <c r="U126" s="192">
        <v>0</v>
      </c>
      <c r="V126" s="192">
        <v>10436000</v>
      </c>
      <c r="W126" s="192">
        <v>0</v>
      </c>
      <c r="X126" s="192">
        <v>7400000</v>
      </c>
      <c r="Y126" s="192">
        <v>0</v>
      </c>
      <c r="Z126" s="192">
        <v>0</v>
      </c>
      <c r="AA126" s="192">
        <v>0</v>
      </c>
      <c r="AB126" s="192">
        <v>0</v>
      </c>
    </row>
    <row r="127" spans="1:28" x14ac:dyDescent="0.2">
      <c r="A127" s="18" t="s">
        <v>346</v>
      </c>
      <c r="B127" s="554"/>
      <c r="C127" s="554"/>
      <c r="D127" s="554"/>
      <c r="E127" s="550"/>
      <c r="F127" s="550"/>
      <c r="G127" s="192"/>
      <c r="H127" s="192">
        <v>0</v>
      </c>
      <c r="I127" s="192">
        <v>0</v>
      </c>
      <c r="J127" s="192">
        <v>0</v>
      </c>
      <c r="K127" s="192">
        <v>0</v>
      </c>
      <c r="L127" s="192">
        <v>0</v>
      </c>
      <c r="M127" s="192">
        <v>0</v>
      </c>
      <c r="N127" s="192">
        <v>0</v>
      </c>
      <c r="O127" s="192">
        <v>0</v>
      </c>
      <c r="P127" s="192">
        <v>0</v>
      </c>
      <c r="Q127" s="192">
        <v>0</v>
      </c>
      <c r="R127" s="192">
        <v>0</v>
      </c>
      <c r="S127" s="192">
        <v>0</v>
      </c>
      <c r="T127" s="192">
        <v>0</v>
      </c>
      <c r="U127" s="192">
        <v>0</v>
      </c>
      <c r="V127" s="192">
        <v>0</v>
      </c>
      <c r="W127" s="192">
        <v>0</v>
      </c>
      <c r="X127" s="192">
        <v>35375047</v>
      </c>
      <c r="Y127" s="192">
        <v>0</v>
      </c>
      <c r="Z127" s="192">
        <v>0</v>
      </c>
      <c r="AA127" s="192">
        <v>0</v>
      </c>
      <c r="AB127" s="192">
        <v>0</v>
      </c>
    </row>
    <row r="128" spans="1:28" x14ac:dyDescent="0.2">
      <c r="A128" s="554"/>
      <c r="B128" s="554"/>
      <c r="C128" s="554"/>
      <c r="D128" s="554"/>
      <c r="E128" s="550"/>
      <c r="F128" s="550"/>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spans="1:30" x14ac:dyDescent="0.2">
      <c r="A129" s="554" t="s">
        <v>633</v>
      </c>
      <c r="B129" s="554"/>
      <c r="C129" s="554"/>
      <c r="D129" s="554"/>
      <c r="E129" s="550"/>
      <c r="F129" s="550"/>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1:30" x14ac:dyDescent="0.2">
      <c r="A130" s="554" t="s">
        <v>759</v>
      </c>
      <c r="B130" s="554"/>
      <c r="C130" s="554"/>
      <c r="D130" s="554"/>
      <c r="E130" s="550"/>
      <c r="F130" s="550"/>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30" x14ac:dyDescent="0.2">
      <c r="A131" s="554"/>
      <c r="B131" s="554" t="s">
        <v>817</v>
      </c>
      <c r="C131" s="554"/>
      <c r="D131" s="554"/>
      <c r="E131" s="550"/>
      <c r="F131" s="555"/>
      <c r="G131" s="192"/>
      <c r="H131" s="192">
        <v>2723669</v>
      </c>
      <c r="I131" s="192">
        <v>10827500</v>
      </c>
      <c r="J131" s="192">
        <v>9526516</v>
      </c>
      <c r="K131" s="192">
        <v>147087</v>
      </c>
      <c r="L131" s="192">
        <v>6737820</v>
      </c>
      <c r="M131" s="192">
        <v>986204</v>
      </c>
      <c r="N131" s="192">
        <v>798179</v>
      </c>
      <c r="O131" s="192">
        <v>2174</v>
      </c>
      <c r="P131" s="192">
        <v>317865</v>
      </c>
      <c r="Q131" s="192">
        <v>6350869</v>
      </c>
      <c r="R131" s="192">
        <v>157218</v>
      </c>
      <c r="S131" s="192">
        <v>1655903</v>
      </c>
      <c r="T131" s="192">
        <v>84257</v>
      </c>
      <c r="U131" s="192">
        <v>163099</v>
      </c>
      <c r="V131" s="192">
        <v>114306771</v>
      </c>
      <c r="W131" s="192">
        <v>44505489</v>
      </c>
      <c r="X131" s="192">
        <v>40859366</v>
      </c>
      <c r="Y131" s="192">
        <v>19743495</v>
      </c>
      <c r="Z131" s="192">
        <v>614360</v>
      </c>
      <c r="AA131" s="192">
        <v>39298000</v>
      </c>
      <c r="AB131" s="192">
        <v>2572830</v>
      </c>
    </row>
    <row r="132" spans="1:30" x14ac:dyDescent="0.2">
      <c r="A132" s="554"/>
      <c r="B132" s="545" t="s">
        <v>1542</v>
      </c>
      <c r="C132" s="554"/>
      <c r="D132" s="554"/>
      <c r="E132" s="550"/>
      <c r="F132" s="555"/>
      <c r="G132" s="192"/>
      <c r="H132" s="192">
        <v>8104149</v>
      </c>
      <c r="I132" s="192">
        <v>3861826</v>
      </c>
      <c r="J132" s="192">
        <v>4334774</v>
      </c>
      <c r="K132" s="192">
        <v>0</v>
      </c>
      <c r="L132" s="192">
        <v>1848748</v>
      </c>
      <c r="M132" s="192">
        <v>987536</v>
      </c>
      <c r="N132" s="192">
        <v>990067</v>
      </c>
      <c r="O132" s="192">
        <v>0</v>
      </c>
      <c r="P132" s="192">
        <v>166720</v>
      </c>
      <c r="Q132" s="192">
        <v>3513380</v>
      </c>
      <c r="R132" s="192">
        <v>0</v>
      </c>
      <c r="S132" s="192">
        <v>3477154</v>
      </c>
      <c r="T132" s="192">
        <v>0</v>
      </c>
      <c r="U132" s="192">
        <v>0</v>
      </c>
      <c r="V132" s="1122">
        <f>15069014-182165</f>
        <v>14886849</v>
      </c>
      <c r="W132" s="192">
        <v>7756353</v>
      </c>
      <c r="X132" s="192">
        <v>9299061</v>
      </c>
      <c r="Y132" s="192">
        <v>9220515</v>
      </c>
      <c r="Z132" s="192">
        <v>36995</v>
      </c>
      <c r="AA132" s="192">
        <v>19821000</v>
      </c>
      <c r="AB132" s="192">
        <v>0</v>
      </c>
    </row>
    <row r="133" spans="1:30" ht="12.75" customHeight="1" x14ac:dyDescent="0.2">
      <c r="A133" s="554"/>
      <c r="B133" s="545" t="s">
        <v>1720</v>
      </c>
      <c r="C133" s="554"/>
      <c r="D133" s="554"/>
      <c r="E133" s="550"/>
      <c r="F133" s="555"/>
      <c r="G133" s="192"/>
      <c r="H133" s="192">
        <v>0</v>
      </c>
      <c r="I133" s="192">
        <v>0</v>
      </c>
      <c r="J133" s="192">
        <v>0</v>
      </c>
      <c r="K133" s="192">
        <v>0</v>
      </c>
      <c r="L133" s="192">
        <v>0</v>
      </c>
      <c r="M133" s="192">
        <v>0</v>
      </c>
      <c r="N133" s="192">
        <v>0</v>
      </c>
      <c r="O133" s="192">
        <v>0</v>
      </c>
      <c r="P133" s="192">
        <v>0</v>
      </c>
      <c r="Q133" s="192">
        <v>0</v>
      </c>
      <c r="R133" s="192">
        <v>0</v>
      </c>
      <c r="S133" s="192">
        <v>0</v>
      </c>
      <c r="T133" s="192">
        <v>0</v>
      </c>
      <c r="U133" s="192">
        <v>0</v>
      </c>
      <c r="V133" s="192">
        <v>0</v>
      </c>
      <c r="W133" s="192">
        <v>0</v>
      </c>
      <c r="X133" s="192">
        <v>0</v>
      </c>
      <c r="Y133" s="192">
        <v>0</v>
      </c>
      <c r="Z133" s="192">
        <v>0</v>
      </c>
      <c r="AA133" s="192">
        <v>0</v>
      </c>
      <c r="AB133" s="192">
        <v>0</v>
      </c>
    </row>
    <row r="134" spans="1:30" x14ac:dyDescent="0.2">
      <c r="A134" s="554"/>
      <c r="B134" s="545" t="s">
        <v>1544</v>
      </c>
      <c r="C134" s="554"/>
      <c r="D134" s="554"/>
      <c r="E134" s="550"/>
      <c r="F134" s="555"/>
      <c r="G134" s="192"/>
      <c r="H134" s="192">
        <v>1912609</v>
      </c>
      <c r="I134" s="192">
        <v>2205233</v>
      </c>
      <c r="J134" s="192">
        <v>8450016</v>
      </c>
      <c r="K134" s="192">
        <v>0</v>
      </c>
      <c r="L134" s="192">
        <v>1777819</v>
      </c>
      <c r="M134" s="192">
        <v>1081843</v>
      </c>
      <c r="N134" s="192">
        <v>1601404</v>
      </c>
      <c r="O134" s="192">
        <v>0</v>
      </c>
      <c r="P134" s="192">
        <v>819901</v>
      </c>
      <c r="Q134" s="1122">
        <f>1649054+3635755</f>
        <v>5284809</v>
      </c>
      <c r="R134" s="192">
        <v>0</v>
      </c>
      <c r="S134" s="192">
        <v>1297479</v>
      </c>
      <c r="T134" s="192">
        <v>0</v>
      </c>
      <c r="U134" s="192">
        <v>0</v>
      </c>
      <c r="V134" s="192">
        <v>22339760</v>
      </c>
      <c r="W134" s="192">
        <v>6609042</v>
      </c>
      <c r="X134" s="192">
        <v>14723622</v>
      </c>
      <c r="Y134" s="192">
        <v>364554</v>
      </c>
      <c r="Z134" s="192">
        <v>633003</v>
      </c>
      <c r="AA134" s="1125">
        <f>4518000+892000</f>
        <v>5410000</v>
      </c>
      <c r="AB134" s="192">
        <v>0</v>
      </c>
    </row>
    <row r="135" spans="1:30" x14ac:dyDescent="0.2">
      <c r="A135" s="554"/>
      <c r="B135" s="554" t="s">
        <v>751</v>
      </c>
      <c r="C135" s="554"/>
      <c r="D135" s="554"/>
      <c r="E135" s="550"/>
      <c r="F135" s="555"/>
      <c r="G135" s="192"/>
      <c r="H135" s="192">
        <v>4705000</v>
      </c>
      <c r="I135" s="192">
        <v>8475000</v>
      </c>
      <c r="J135" s="192">
        <v>22795000</v>
      </c>
      <c r="K135" s="192">
        <v>0</v>
      </c>
      <c r="L135" s="192">
        <v>16390000</v>
      </c>
      <c r="M135" s="192">
        <v>3390012</v>
      </c>
      <c r="N135" s="192">
        <v>8948460</v>
      </c>
      <c r="O135" s="192">
        <v>0</v>
      </c>
      <c r="P135" s="192">
        <v>1785000</v>
      </c>
      <c r="Q135" s="192">
        <v>13525133</v>
      </c>
      <c r="R135" s="192">
        <v>0</v>
      </c>
      <c r="S135" s="192">
        <v>1410000</v>
      </c>
      <c r="T135" s="192">
        <v>0</v>
      </c>
      <c r="U135" s="192">
        <v>0</v>
      </c>
      <c r="V135" s="1122">
        <f>0+3557101</f>
        <v>3557101</v>
      </c>
      <c r="W135" s="192">
        <v>12510000</v>
      </c>
      <c r="X135" s="192">
        <v>1265406</v>
      </c>
      <c r="Y135" s="192">
        <v>8015000</v>
      </c>
      <c r="Z135" s="192">
        <v>1090000</v>
      </c>
      <c r="AA135" s="192">
        <v>13125000</v>
      </c>
      <c r="AB135" s="192">
        <v>130000</v>
      </c>
    </row>
    <row r="136" spans="1:30" x14ac:dyDescent="0.2">
      <c r="A136" s="554"/>
      <c r="B136" s="554" t="s">
        <v>116</v>
      </c>
      <c r="C136" s="554"/>
      <c r="D136" s="554"/>
      <c r="E136" s="550"/>
      <c r="F136" s="555"/>
      <c r="G136" s="192"/>
      <c r="H136" s="192">
        <v>2400000</v>
      </c>
      <c r="I136" s="192">
        <v>7408819</v>
      </c>
      <c r="J136" s="192">
        <v>12734881</v>
      </c>
      <c r="K136" s="192">
        <v>0</v>
      </c>
      <c r="L136" s="192">
        <v>10142501</v>
      </c>
      <c r="M136" s="192">
        <v>1482449</v>
      </c>
      <c r="N136" s="192">
        <v>358104</v>
      </c>
      <c r="O136" s="192">
        <v>0</v>
      </c>
      <c r="P136" s="192">
        <v>3775000</v>
      </c>
      <c r="Q136" s="192">
        <v>7782381</v>
      </c>
      <c r="R136" s="192">
        <v>0</v>
      </c>
      <c r="S136" s="192">
        <v>2170000</v>
      </c>
      <c r="T136" s="192">
        <v>0</v>
      </c>
      <c r="U136" s="192">
        <v>0</v>
      </c>
      <c r="V136" s="1122">
        <f>3557101-3557101</f>
        <v>0</v>
      </c>
      <c r="W136" s="192">
        <v>12683258</v>
      </c>
      <c r="X136" s="192">
        <v>9934251</v>
      </c>
      <c r="Y136" s="192">
        <v>0</v>
      </c>
      <c r="Z136" s="192">
        <v>831325</v>
      </c>
      <c r="AA136" s="192">
        <v>18614000</v>
      </c>
      <c r="AB136" s="192">
        <v>7880975</v>
      </c>
    </row>
    <row r="137" spans="1:30" x14ac:dyDescent="0.2">
      <c r="A137" s="554"/>
      <c r="B137" s="554" t="s">
        <v>816</v>
      </c>
      <c r="C137" s="554"/>
      <c r="D137" s="554"/>
      <c r="E137" s="550"/>
      <c r="F137" s="555"/>
      <c r="G137" s="192"/>
      <c r="H137" s="192">
        <v>0</v>
      </c>
      <c r="I137" s="192">
        <v>0</v>
      </c>
      <c r="J137" s="192">
        <v>0</v>
      </c>
      <c r="K137" s="192">
        <v>0</v>
      </c>
      <c r="L137" s="192">
        <v>0</v>
      </c>
      <c r="M137" s="192">
        <v>0</v>
      </c>
      <c r="N137" s="192">
        <v>0</v>
      </c>
      <c r="O137" s="192">
        <v>0</v>
      </c>
      <c r="P137" s="192">
        <v>0</v>
      </c>
      <c r="Q137" s="192">
        <v>0</v>
      </c>
      <c r="R137" s="192">
        <v>0</v>
      </c>
      <c r="S137" s="192">
        <v>0</v>
      </c>
      <c r="T137" s="192">
        <v>0</v>
      </c>
      <c r="U137" s="192">
        <v>0</v>
      </c>
      <c r="V137" s="192">
        <v>0</v>
      </c>
      <c r="W137" s="192">
        <v>0</v>
      </c>
      <c r="X137" s="192">
        <v>0</v>
      </c>
      <c r="Y137" s="192">
        <v>0</v>
      </c>
      <c r="Z137" s="192">
        <v>0</v>
      </c>
      <c r="AA137" s="192">
        <v>0</v>
      </c>
      <c r="AB137" s="192">
        <v>0</v>
      </c>
    </row>
    <row r="138" spans="1:30" x14ac:dyDescent="0.2">
      <c r="A138" s="554"/>
      <c r="B138" s="554" t="s">
        <v>577</v>
      </c>
      <c r="C138" s="554"/>
      <c r="D138" s="554"/>
      <c r="E138" s="550"/>
      <c r="F138" s="555"/>
      <c r="G138" s="192"/>
      <c r="H138" s="192">
        <v>236965</v>
      </c>
      <c r="I138" s="192">
        <v>490669</v>
      </c>
      <c r="J138" s="192">
        <v>510423</v>
      </c>
      <c r="K138" s="192">
        <v>0</v>
      </c>
      <c r="L138" s="192">
        <v>0</v>
      </c>
      <c r="M138" s="192">
        <v>22136</v>
      </c>
      <c r="N138" s="192">
        <v>0</v>
      </c>
      <c r="O138" s="192">
        <v>0</v>
      </c>
      <c r="P138" s="192">
        <v>248300</v>
      </c>
      <c r="Q138" s="192">
        <v>0</v>
      </c>
      <c r="R138" s="192">
        <v>0</v>
      </c>
      <c r="S138" s="192">
        <v>0</v>
      </c>
      <c r="T138" s="192">
        <v>77291</v>
      </c>
      <c r="U138" s="192">
        <v>0</v>
      </c>
      <c r="V138" s="192">
        <v>686101</v>
      </c>
      <c r="W138" s="192">
        <v>281200</v>
      </c>
      <c r="X138" s="192">
        <v>0</v>
      </c>
      <c r="Y138" s="192">
        <v>243156</v>
      </c>
      <c r="Z138" s="192">
        <v>0</v>
      </c>
      <c r="AA138" s="192">
        <v>0</v>
      </c>
      <c r="AB138" s="192">
        <v>0</v>
      </c>
      <c r="AD138" s="570" t="s">
        <v>750</v>
      </c>
    </row>
    <row r="139" spans="1:30" x14ac:dyDescent="0.2">
      <c r="A139" s="554"/>
      <c r="B139" s="545" t="s">
        <v>1719</v>
      </c>
      <c r="C139" s="554"/>
      <c r="D139" s="554"/>
      <c r="E139" s="550"/>
      <c r="F139" s="555"/>
      <c r="G139" s="192"/>
      <c r="H139" s="192">
        <v>0</v>
      </c>
      <c r="I139" s="192">
        <v>866735</v>
      </c>
      <c r="J139" s="192">
        <v>4327360</v>
      </c>
      <c r="K139" s="192">
        <v>0</v>
      </c>
      <c r="L139" s="192">
        <v>0</v>
      </c>
      <c r="M139" s="192">
        <v>9599</v>
      </c>
      <c r="N139" s="192">
        <v>124896</v>
      </c>
      <c r="O139" s="192">
        <v>0</v>
      </c>
      <c r="P139" s="192">
        <v>0</v>
      </c>
      <c r="Q139" s="192">
        <v>0</v>
      </c>
      <c r="R139" s="192">
        <v>0</v>
      </c>
      <c r="S139" s="192">
        <v>0</v>
      </c>
      <c r="T139" s="192">
        <v>0</v>
      </c>
      <c r="U139" s="192">
        <v>0</v>
      </c>
      <c r="V139" s="192">
        <v>0</v>
      </c>
      <c r="W139" s="192">
        <v>0</v>
      </c>
      <c r="X139" s="192">
        <v>0</v>
      </c>
      <c r="Y139" s="192">
        <v>0</v>
      </c>
      <c r="Z139" s="192">
        <v>0</v>
      </c>
      <c r="AA139" s="192">
        <v>515000</v>
      </c>
      <c r="AB139" s="192">
        <v>0</v>
      </c>
      <c r="AD139" s="570"/>
    </row>
    <row r="140" spans="1:30" x14ac:dyDescent="0.2">
      <c r="A140" s="554"/>
      <c r="B140" s="545" t="s">
        <v>1366</v>
      </c>
      <c r="C140" s="554"/>
      <c r="D140" s="554"/>
      <c r="E140" s="550"/>
      <c r="F140" s="555"/>
      <c r="G140" s="192"/>
      <c r="H140" s="192">
        <v>7397</v>
      </c>
      <c r="I140" s="192">
        <v>18711</v>
      </c>
      <c r="J140" s="192">
        <v>17949</v>
      </c>
      <c r="K140" s="192">
        <v>0</v>
      </c>
      <c r="L140" s="192">
        <v>19581</v>
      </c>
      <c r="M140" s="192">
        <v>8703</v>
      </c>
      <c r="N140" s="192">
        <v>6962</v>
      </c>
      <c r="O140" s="192">
        <v>0</v>
      </c>
      <c r="P140" s="192">
        <v>6092</v>
      </c>
      <c r="Q140" s="192">
        <v>18276</v>
      </c>
      <c r="R140" s="192">
        <v>0</v>
      </c>
      <c r="S140" s="192">
        <v>8267</v>
      </c>
      <c r="T140" s="192">
        <v>0</v>
      </c>
      <c r="U140" s="192">
        <v>0</v>
      </c>
      <c r="V140" s="192">
        <v>28283</v>
      </c>
      <c r="W140" s="192">
        <v>31756</v>
      </c>
      <c r="X140" s="192">
        <v>0</v>
      </c>
      <c r="Y140" s="192">
        <v>41773</v>
      </c>
      <c r="Z140" s="192">
        <v>5222</v>
      </c>
      <c r="AA140" s="192">
        <v>20000</v>
      </c>
      <c r="AB140" s="192">
        <v>5656</v>
      </c>
      <c r="AD140" s="617">
        <f>SUM(H140:AB140)</f>
        <v>244628</v>
      </c>
    </row>
    <row r="141" spans="1:30" x14ac:dyDescent="0.2">
      <c r="A141" s="554"/>
      <c r="B141" s="545" t="s">
        <v>1367</v>
      </c>
      <c r="C141" s="554"/>
      <c r="D141" s="554"/>
      <c r="E141" s="550"/>
      <c r="F141" s="555"/>
      <c r="G141" s="192"/>
      <c r="H141" s="811">
        <v>391996</v>
      </c>
      <c r="I141" s="811">
        <v>1075421</v>
      </c>
      <c r="J141" s="811">
        <v>1795759</v>
      </c>
      <c r="K141" s="811">
        <v>0</v>
      </c>
      <c r="L141" s="811">
        <v>1446272</v>
      </c>
      <c r="M141" s="811">
        <v>327749</v>
      </c>
      <c r="N141" s="811">
        <v>268912</v>
      </c>
      <c r="O141" s="811">
        <v>5432</v>
      </c>
      <c r="P141" s="811">
        <v>337495</v>
      </c>
      <c r="Q141" s="811">
        <v>1000850</v>
      </c>
      <c r="R141" s="811">
        <v>0</v>
      </c>
      <c r="S141" s="811">
        <v>577016</v>
      </c>
      <c r="T141" s="811">
        <v>15864</v>
      </c>
      <c r="U141" s="811">
        <v>7265</v>
      </c>
      <c r="V141" s="811">
        <v>0</v>
      </c>
      <c r="W141" s="811">
        <v>2778928</v>
      </c>
      <c r="X141" s="811">
        <v>100991</v>
      </c>
      <c r="Y141" s="811">
        <v>2631490</v>
      </c>
      <c r="Z141" s="811">
        <v>261645</v>
      </c>
      <c r="AA141" s="811">
        <v>3622000</v>
      </c>
      <c r="AB141" s="811">
        <v>282780</v>
      </c>
      <c r="AD141" s="617">
        <f>SUM(H141:AB141)</f>
        <v>16927865</v>
      </c>
    </row>
    <row r="142" spans="1:30" x14ac:dyDescent="0.2">
      <c r="A142" s="554"/>
      <c r="B142" s="554" t="s">
        <v>82</v>
      </c>
      <c r="C142" s="554"/>
      <c r="D142" s="554"/>
      <c r="E142" s="550"/>
      <c r="F142" s="555"/>
      <c r="G142" s="192"/>
      <c r="H142" s="192">
        <v>0</v>
      </c>
      <c r="I142" s="192">
        <v>0</v>
      </c>
      <c r="J142" s="192">
        <v>0</v>
      </c>
      <c r="K142" s="192">
        <v>0</v>
      </c>
      <c r="L142" s="192">
        <v>0</v>
      </c>
      <c r="M142" s="192">
        <v>0</v>
      </c>
      <c r="N142" s="192">
        <v>0</v>
      </c>
      <c r="O142" s="192">
        <v>0</v>
      </c>
      <c r="P142" s="192">
        <v>0</v>
      </c>
      <c r="Q142" s="192">
        <v>0</v>
      </c>
      <c r="R142" s="192">
        <v>0</v>
      </c>
      <c r="S142" s="192">
        <v>0</v>
      </c>
      <c r="T142" s="192">
        <v>0</v>
      </c>
      <c r="U142" s="192">
        <v>0</v>
      </c>
      <c r="V142" s="192">
        <v>0</v>
      </c>
      <c r="W142" s="192">
        <v>0</v>
      </c>
      <c r="X142" s="192">
        <v>0</v>
      </c>
      <c r="Y142" s="192">
        <v>0</v>
      </c>
      <c r="Z142" s="192">
        <v>0</v>
      </c>
      <c r="AA142" s="192">
        <v>0</v>
      </c>
      <c r="AB142" s="192">
        <v>0</v>
      </c>
    </row>
    <row r="143" spans="1:30" x14ac:dyDescent="0.2">
      <c r="A143" s="554"/>
      <c r="B143" s="554" t="s">
        <v>760</v>
      </c>
      <c r="C143" s="554"/>
      <c r="D143" s="554"/>
      <c r="E143" s="550"/>
      <c r="F143" s="555"/>
      <c r="G143" s="192"/>
      <c r="H143" s="192">
        <v>0</v>
      </c>
      <c r="I143" s="192">
        <v>0</v>
      </c>
      <c r="J143" s="192">
        <v>0</v>
      </c>
      <c r="K143" s="192">
        <v>0</v>
      </c>
      <c r="L143" s="192">
        <v>4081471</v>
      </c>
      <c r="M143" s="1119">
        <f>575000-575000</f>
        <v>0</v>
      </c>
      <c r="N143" s="192">
        <v>0</v>
      </c>
      <c r="O143" s="192">
        <v>0</v>
      </c>
      <c r="P143" s="192">
        <v>0</v>
      </c>
      <c r="Q143" s="192">
        <v>0</v>
      </c>
      <c r="R143" s="192">
        <v>0</v>
      </c>
      <c r="S143" s="192">
        <v>1105552</v>
      </c>
      <c r="T143" s="192">
        <v>0</v>
      </c>
      <c r="U143" s="192">
        <v>0</v>
      </c>
      <c r="V143" s="192">
        <v>7127787</v>
      </c>
      <c r="W143" s="192">
        <v>1480115</v>
      </c>
      <c r="X143" s="192">
        <v>0</v>
      </c>
      <c r="Y143" s="192">
        <v>0</v>
      </c>
      <c r="Z143" s="192">
        <v>0</v>
      </c>
      <c r="AA143" s="192">
        <v>0</v>
      </c>
      <c r="AB143" s="192">
        <v>0</v>
      </c>
    </row>
    <row r="144" spans="1:30" x14ac:dyDescent="0.2">
      <c r="A144" s="554"/>
      <c r="B144" s="554"/>
      <c r="C144" s="556" t="s">
        <v>292</v>
      </c>
      <c r="D144" s="554"/>
      <c r="E144" s="550"/>
      <c r="F144" s="550"/>
      <c r="G144" s="15">
        <f>SUM(G131:G143)</f>
        <v>0</v>
      </c>
      <c r="H144" s="15">
        <f t="shared" ref="H144:AB144" si="10">SUM(H131:H143)</f>
        <v>20481785</v>
      </c>
      <c r="I144" s="15">
        <f t="shared" si="10"/>
        <v>35229914</v>
      </c>
      <c r="J144" s="15">
        <f t="shared" si="10"/>
        <v>64492678</v>
      </c>
      <c r="K144" s="15">
        <f t="shared" si="10"/>
        <v>147087</v>
      </c>
      <c r="L144" s="15">
        <f t="shared" si="10"/>
        <v>42444212</v>
      </c>
      <c r="M144" s="15">
        <f t="shared" si="10"/>
        <v>8296231</v>
      </c>
      <c r="N144" s="15">
        <f t="shared" si="10"/>
        <v>13096984</v>
      </c>
      <c r="O144" s="15">
        <f t="shared" si="10"/>
        <v>7606</v>
      </c>
      <c r="P144" s="15">
        <f t="shared" si="10"/>
        <v>7456373</v>
      </c>
      <c r="Q144" s="15">
        <f t="shared" si="10"/>
        <v>37475698</v>
      </c>
      <c r="R144" s="15">
        <f t="shared" si="10"/>
        <v>157218</v>
      </c>
      <c r="S144" s="15">
        <f t="shared" si="10"/>
        <v>11701371</v>
      </c>
      <c r="T144" s="15">
        <f t="shared" si="10"/>
        <v>177412</v>
      </c>
      <c r="U144" s="15">
        <f t="shared" si="10"/>
        <v>170364</v>
      </c>
      <c r="V144" s="15">
        <f t="shared" si="10"/>
        <v>162932652</v>
      </c>
      <c r="W144" s="15">
        <f t="shared" si="10"/>
        <v>88636141</v>
      </c>
      <c r="X144" s="15">
        <f t="shared" si="10"/>
        <v>76182697</v>
      </c>
      <c r="Y144" s="15">
        <f t="shared" si="10"/>
        <v>40259983</v>
      </c>
      <c r="Z144" s="15">
        <f t="shared" si="10"/>
        <v>3472550</v>
      </c>
      <c r="AA144" s="15">
        <f t="shared" si="10"/>
        <v>100425000</v>
      </c>
      <c r="AB144" s="15">
        <f t="shared" si="10"/>
        <v>10872241</v>
      </c>
    </row>
    <row r="145" spans="1:30" x14ac:dyDescent="0.2">
      <c r="A145" s="554"/>
      <c r="B145" s="554"/>
      <c r="C145" s="554"/>
      <c r="D145" s="554"/>
      <c r="E145" s="550"/>
      <c r="F145" s="550"/>
      <c r="G145" s="12"/>
      <c r="H145" s="12"/>
      <c r="I145" s="12"/>
      <c r="J145" s="12"/>
      <c r="K145" s="12"/>
      <c r="L145" s="12"/>
      <c r="M145" s="12"/>
      <c r="N145" s="12"/>
      <c r="O145" s="12"/>
      <c r="P145" s="12"/>
      <c r="Q145" s="12"/>
      <c r="R145" s="12"/>
      <c r="S145" s="12"/>
      <c r="T145" s="12"/>
      <c r="U145" s="12"/>
      <c r="V145" s="12"/>
      <c r="W145" s="12"/>
      <c r="X145" s="12"/>
      <c r="Y145" s="12"/>
      <c r="Z145" s="12"/>
      <c r="AA145" s="12"/>
      <c r="AB145" s="12"/>
    </row>
    <row r="146" spans="1:30" x14ac:dyDescent="0.2">
      <c r="A146" s="554" t="s">
        <v>761</v>
      </c>
      <c r="B146" s="554"/>
      <c r="C146" s="554"/>
      <c r="D146" s="554"/>
      <c r="E146" s="550"/>
      <c r="F146" s="550"/>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spans="1:30" x14ac:dyDescent="0.2">
      <c r="A147" s="554"/>
      <c r="B147" s="554" t="s">
        <v>578</v>
      </c>
      <c r="C147" s="554"/>
      <c r="D147" s="554"/>
      <c r="E147" s="550"/>
      <c r="F147" s="555"/>
      <c r="G147" s="192"/>
      <c r="H147" s="811">
        <v>1716943</v>
      </c>
      <c r="I147" s="811">
        <v>3659400</v>
      </c>
      <c r="J147" s="811">
        <v>19669588</v>
      </c>
      <c r="K147" s="811">
        <v>49029</v>
      </c>
      <c r="L147" s="811">
        <v>1733924</v>
      </c>
      <c r="M147" s="811">
        <v>477717</v>
      </c>
      <c r="N147" s="811">
        <v>886962</v>
      </c>
      <c r="O147" s="811">
        <v>80280</v>
      </c>
      <c r="P147" s="811">
        <v>2308729</v>
      </c>
      <c r="Q147" s="1119">
        <f>2465795-541832</f>
        <v>1923963</v>
      </c>
      <c r="R147" s="811">
        <v>19424</v>
      </c>
      <c r="S147" s="811">
        <v>2930170</v>
      </c>
      <c r="T147" s="811">
        <v>115449</v>
      </c>
      <c r="U147" s="811">
        <v>18122</v>
      </c>
      <c r="V147" s="811">
        <v>6380687</v>
      </c>
      <c r="W147" s="811">
        <v>14756968</v>
      </c>
      <c r="X147" s="811">
        <v>0</v>
      </c>
      <c r="Y147" s="811">
        <v>12521096</v>
      </c>
      <c r="Z147" s="811">
        <v>1132023</v>
      </c>
      <c r="AA147" s="811">
        <v>21428000</v>
      </c>
      <c r="AB147" s="811">
        <v>3156615</v>
      </c>
    </row>
    <row r="148" spans="1:30" x14ac:dyDescent="0.2">
      <c r="A148" s="554"/>
      <c r="B148" s="545" t="s">
        <v>1472</v>
      </c>
      <c r="C148" s="554"/>
      <c r="D148" s="554"/>
      <c r="E148" s="550"/>
      <c r="F148" s="555"/>
      <c r="G148" s="192"/>
      <c r="H148" s="811">
        <v>64633769</v>
      </c>
      <c r="I148" s="811">
        <v>17184858</v>
      </c>
      <c r="J148" s="811">
        <v>48885692</v>
      </c>
      <c r="K148" s="811">
        <v>0</v>
      </c>
      <c r="L148" s="811">
        <v>5201483</v>
      </c>
      <c r="M148" s="811">
        <v>2225172</v>
      </c>
      <c r="N148" s="811">
        <v>4618542</v>
      </c>
      <c r="O148" s="811">
        <v>0</v>
      </c>
      <c r="P148" s="811">
        <v>0</v>
      </c>
      <c r="Q148" s="811">
        <v>111858059</v>
      </c>
      <c r="R148" s="811">
        <v>0</v>
      </c>
      <c r="S148" s="811">
        <v>25236027</v>
      </c>
      <c r="T148" s="811">
        <v>0</v>
      </c>
      <c r="U148" s="811">
        <v>0</v>
      </c>
      <c r="V148" s="1122">
        <f>143526725+3045501</f>
        <v>146572226</v>
      </c>
      <c r="W148" s="811">
        <v>90755761</v>
      </c>
      <c r="X148" s="811">
        <v>38039680</v>
      </c>
      <c r="Y148" s="811">
        <v>23999703</v>
      </c>
      <c r="Z148" s="811">
        <v>232882</v>
      </c>
      <c r="AA148" s="811">
        <v>186130000</v>
      </c>
      <c r="AB148" s="811">
        <v>0</v>
      </c>
    </row>
    <row r="149" spans="1:30" x14ac:dyDescent="0.2">
      <c r="A149" s="554"/>
      <c r="B149" s="545" t="s">
        <v>1720</v>
      </c>
      <c r="C149" s="554"/>
      <c r="D149" s="554"/>
      <c r="E149" s="550"/>
      <c r="F149" s="555"/>
      <c r="G149" s="192"/>
      <c r="H149" s="811">
        <v>0</v>
      </c>
      <c r="I149" s="811">
        <v>0</v>
      </c>
      <c r="J149" s="811">
        <v>0</v>
      </c>
      <c r="K149" s="811">
        <v>0</v>
      </c>
      <c r="L149" s="811">
        <v>0</v>
      </c>
      <c r="M149" s="811">
        <v>0</v>
      </c>
      <c r="N149" s="811">
        <v>0</v>
      </c>
      <c r="O149" s="811">
        <v>0</v>
      </c>
      <c r="P149" s="811">
        <v>0</v>
      </c>
      <c r="Q149" s="811">
        <v>0</v>
      </c>
      <c r="R149" s="811">
        <v>0</v>
      </c>
      <c r="S149" s="811">
        <v>0</v>
      </c>
      <c r="T149" s="811">
        <v>0</v>
      </c>
      <c r="U149" s="811">
        <v>0</v>
      </c>
      <c r="V149" s="811">
        <v>0</v>
      </c>
      <c r="W149" s="811">
        <v>0</v>
      </c>
      <c r="X149" s="811">
        <v>0</v>
      </c>
      <c r="Y149" s="811">
        <v>0</v>
      </c>
      <c r="Z149" s="811">
        <v>0</v>
      </c>
      <c r="AA149" s="811">
        <v>0</v>
      </c>
      <c r="AB149" s="811">
        <v>0</v>
      </c>
    </row>
    <row r="150" spans="1:30" x14ac:dyDescent="0.2">
      <c r="A150" s="554"/>
      <c r="B150" s="545" t="s">
        <v>1544</v>
      </c>
      <c r="C150" s="554"/>
      <c r="D150" s="554"/>
      <c r="E150" s="550"/>
      <c r="F150" s="555"/>
      <c r="G150" s="192"/>
      <c r="H150" s="192">
        <v>2931235</v>
      </c>
      <c r="I150" s="192">
        <v>5909372</v>
      </c>
      <c r="J150" s="192">
        <v>11554694</v>
      </c>
      <c r="K150" s="192">
        <v>0</v>
      </c>
      <c r="L150" s="192">
        <v>4687715</v>
      </c>
      <c r="M150" s="192">
        <v>2728164</v>
      </c>
      <c r="N150" s="192">
        <v>3915440</v>
      </c>
      <c r="O150" s="192">
        <v>0</v>
      </c>
      <c r="P150" s="192">
        <v>604980</v>
      </c>
      <c r="Q150" s="1122">
        <f>2529312+9991931</f>
        <v>12521243</v>
      </c>
      <c r="R150" s="192">
        <v>0</v>
      </c>
      <c r="S150" s="192">
        <v>1983130</v>
      </c>
      <c r="T150" s="192">
        <v>0</v>
      </c>
      <c r="U150" s="192">
        <v>0</v>
      </c>
      <c r="V150" s="192">
        <v>31203840</v>
      </c>
      <c r="W150" s="192">
        <v>9355919</v>
      </c>
      <c r="X150" s="192">
        <v>11398683</v>
      </c>
      <c r="Y150" s="192">
        <v>782959</v>
      </c>
      <c r="Z150" s="192">
        <v>2706523</v>
      </c>
      <c r="AA150" s="1125">
        <f>9664000+3134000</f>
        <v>12798000</v>
      </c>
      <c r="AB150" s="192">
        <v>0</v>
      </c>
    </row>
    <row r="151" spans="1:30" x14ac:dyDescent="0.2">
      <c r="A151" s="554"/>
      <c r="B151" s="554" t="s">
        <v>751</v>
      </c>
      <c r="C151" s="554"/>
      <c r="D151" s="554"/>
      <c r="E151" s="550"/>
      <c r="F151" s="555"/>
      <c r="G151" s="192"/>
      <c r="H151" s="811">
        <v>45625095</v>
      </c>
      <c r="I151" s="811">
        <v>103087766</v>
      </c>
      <c r="J151" s="811">
        <v>216426157</v>
      </c>
      <c r="K151" s="811">
        <v>0</v>
      </c>
      <c r="L151" s="811">
        <v>246965667</v>
      </c>
      <c r="M151" s="811">
        <v>29462762</v>
      </c>
      <c r="N151" s="811">
        <v>239330507</v>
      </c>
      <c r="O151" s="811">
        <v>0</v>
      </c>
      <c r="P151" s="811">
        <v>23353038</v>
      </c>
      <c r="Q151" s="811">
        <v>102462255</v>
      </c>
      <c r="R151" s="811">
        <v>0</v>
      </c>
      <c r="S151" s="811">
        <v>13895495</v>
      </c>
      <c r="T151" s="811">
        <v>0</v>
      </c>
      <c r="U151" s="811">
        <v>0</v>
      </c>
      <c r="V151" s="811">
        <v>2668141</v>
      </c>
      <c r="W151" s="811">
        <v>67379556</v>
      </c>
      <c r="X151" s="811">
        <v>160068360</v>
      </c>
      <c r="Y151" s="811">
        <v>66557535</v>
      </c>
      <c r="Z151" s="811">
        <v>16417031</v>
      </c>
      <c r="AA151" s="811">
        <v>242696000</v>
      </c>
      <c r="AB151" s="811">
        <v>25148338</v>
      </c>
    </row>
    <row r="152" spans="1:30" x14ac:dyDescent="0.2">
      <c r="A152" s="554"/>
      <c r="B152" s="554" t="s">
        <v>116</v>
      </c>
      <c r="C152" s="554"/>
      <c r="D152" s="554"/>
      <c r="E152" s="550"/>
      <c r="F152" s="555"/>
      <c r="G152" s="192"/>
      <c r="H152" s="811">
        <v>46387773</v>
      </c>
      <c r="I152" s="811">
        <v>197149513</v>
      </c>
      <c r="J152" s="811">
        <v>132738813</v>
      </c>
      <c r="K152" s="811">
        <v>0</v>
      </c>
      <c r="L152" s="811">
        <v>125647437</v>
      </c>
      <c r="M152" s="811">
        <v>3925292</v>
      </c>
      <c r="N152" s="811">
        <v>351181</v>
      </c>
      <c r="O152" s="811">
        <v>0</v>
      </c>
      <c r="P152" s="811">
        <v>54232422</v>
      </c>
      <c r="Q152" s="811">
        <v>84386317</v>
      </c>
      <c r="R152" s="811">
        <v>0</v>
      </c>
      <c r="S152" s="811">
        <v>37405164</v>
      </c>
      <c r="T152" s="811">
        <v>0</v>
      </c>
      <c r="U152" s="811">
        <v>0</v>
      </c>
      <c r="V152" s="811">
        <v>3339805444</v>
      </c>
      <c r="W152" s="811">
        <v>348743429</v>
      </c>
      <c r="X152" s="811">
        <v>531259467</v>
      </c>
      <c r="Y152" s="811">
        <v>0</v>
      </c>
      <c r="Z152" s="811">
        <v>945639</v>
      </c>
      <c r="AA152" s="811">
        <v>322778000</v>
      </c>
      <c r="AB152" s="811">
        <v>43125399</v>
      </c>
    </row>
    <row r="153" spans="1:30" x14ac:dyDescent="0.2">
      <c r="A153" s="554"/>
      <c r="B153" s="554" t="s">
        <v>816</v>
      </c>
      <c r="C153" s="554"/>
      <c r="D153" s="546"/>
      <c r="E153" s="550"/>
      <c r="F153" s="555"/>
      <c r="G153" s="811"/>
      <c r="H153" s="811">
        <v>0</v>
      </c>
      <c r="I153" s="811">
        <v>0</v>
      </c>
      <c r="J153" s="811">
        <v>0</v>
      </c>
      <c r="K153" s="811">
        <v>0</v>
      </c>
      <c r="L153" s="811">
        <v>0</v>
      </c>
      <c r="M153" s="811">
        <v>0</v>
      </c>
      <c r="N153" s="811">
        <v>0</v>
      </c>
      <c r="O153" s="811">
        <v>0</v>
      </c>
      <c r="P153" s="811">
        <v>0</v>
      </c>
      <c r="Q153" s="811">
        <v>0</v>
      </c>
      <c r="R153" s="811">
        <v>0</v>
      </c>
      <c r="S153" s="811">
        <v>0</v>
      </c>
      <c r="T153" s="811">
        <v>0</v>
      </c>
      <c r="U153" s="811">
        <v>0</v>
      </c>
      <c r="V153" s="811">
        <v>0</v>
      </c>
      <c r="W153" s="811">
        <v>0</v>
      </c>
      <c r="X153" s="811">
        <v>0</v>
      </c>
      <c r="Y153" s="811">
        <v>0</v>
      </c>
      <c r="Z153" s="811">
        <v>0</v>
      </c>
      <c r="AA153" s="811">
        <v>0</v>
      </c>
      <c r="AB153" s="811">
        <v>0</v>
      </c>
    </row>
    <row r="154" spans="1:30" x14ac:dyDescent="0.2">
      <c r="A154" s="554"/>
      <c r="B154" s="554" t="s">
        <v>716</v>
      </c>
      <c r="C154" s="554"/>
      <c r="D154" s="554"/>
      <c r="E154" s="550"/>
      <c r="F154" s="555"/>
      <c r="G154" s="811"/>
      <c r="H154" s="811">
        <v>1147912</v>
      </c>
      <c r="I154" s="811">
        <v>559426</v>
      </c>
      <c r="J154" s="811">
        <v>517721</v>
      </c>
      <c r="K154" s="811">
        <v>0</v>
      </c>
      <c r="L154" s="811">
        <v>0</v>
      </c>
      <c r="M154" s="811">
        <v>20621</v>
      </c>
      <c r="N154" s="811">
        <v>0</v>
      </c>
      <c r="O154" s="811">
        <v>0</v>
      </c>
      <c r="P154" s="811">
        <v>126148</v>
      </c>
      <c r="Q154" s="811">
        <v>0</v>
      </c>
      <c r="R154" s="811">
        <v>0</v>
      </c>
      <c r="S154" s="811">
        <v>0</v>
      </c>
      <c r="T154" s="811">
        <v>285523</v>
      </c>
      <c r="U154" s="811">
        <v>0</v>
      </c>
      <c r="V154" s="811">
        <v>102413</v>
      </c>
      <c r="W154" s="811">
        <v>426830</v>
      </c>
      <c r="X154" s="811">
        <v>0</v>
      </c>
      <c r="Y154" s="811">
        <v>237340</v>
      </c>
      <c r="Z154" s="811">
        <v>0</v>
      </c>
      <c r="AA154" s="811">
        <v>0</v>
      </c>
      <c r="AB154" s="811">
        <v>0</v>
      </c>
      <c r="AD154" s="637"/>
    </row>
    <row r="155" spans="1:30" x14ac:dyDescent="0.2">
      <c r="A155" s="554"/>
      <c r="B155" s="545" t="s">
        <v>1599</v>
      </c>
      <c r="C155" s="554"/>
      <c r="D155" s="554"/>
      <c r="E155" s="550"/>
      <c r="F155" s="555"/>
      <c r="G155" s="811"/>
      <c r="H155" s="811">
        <v>0</v>
      </c>
      <c r="I155" s="1119">
        <f>17034568+4911</f>
        <v>17039479</v>
      </c>
      <c r="J155" s="811">
        <v>68500223</v>
      </c>
      <c r="K155" s="811">
        <v>0</v>
      </c>
      <c r="L155" s="811">
        <v>14584285</v>
      </c>
      <c r="M155" s="811">
        <v>34276</v>
      </c>
      <c r="N155" s="811">
        <v>787350</v>
      </c>
      <c r="O155" s="811">
        <v>0</v>
      </c>
      <c r="P155" s="811">
        <v>0</v>
      </c>
      <c r="Q155" s="811">
        <v>0</v>
      </c>
      <c r="R155" s="811">
        <v>0</v>
      </c>
      <c r="S155" s="811">
        <v>0</v>
      </c>
      <c r="T155" s="811">
        <v>0</v>
      </c>
      <c r="U155" s="811">
        <v>0</v>
      </c>
      <c r="V155" s="811">
        <v>0</v>
      </c>
      <c r="W155" s="811">
        <v>0</v>
      </c>
      <c r="X155" s="811">
        <v>0</v>
      </c>
      <c r="Y155" s="811">
        <v>0</v>
      </c>
      <c r="Z155" s="811">
        <v>0</v>
      </c>
      <c r="AA155" s="811">
        <v>10045000</v>
      </c>
      <c r="AB155" s="811">
        <v>0</v>
      </c>
      <c r="AD155" s="637"/>
    </row>
    <row r="156" spans="1:30" x14ac:dyDescent="0.2">
      <c r="A156" s="554"/>
      <c r="B156" s="545" t="s">
        <v>1557</v>
      </c>
      <c r="C156" s="554"/>
      <c r="D156" s="554"/>
      <c r="E156" s="550"/>
      <c r="F156" s="555"/>
      <c r="G156" s="811"/>
      <c r="H156" s="811">
        <v>34952412</v>
      </c>
      <c r="I156" s="811">
        <v>83864611</v>
      </c>
      <c r="J156" s="811">
        <v>168980232</v>
      </c>
      <c r="K156" s="811">
        <v>0</v>
      </c>
      <c r="L156" s="811">
        <v>126928466</v>
      </c>
      <c r="M156" s="811">
        <v>28329235</v>
      </c>
      <c r="N156" s="811">
        <v>22969482</v>
      </c>
      <c r="O156" s="811">
        <v>1013883</v>
      </c>
      <c r="P156" s="811">
        <v>41321194</v>
      </c>
      <c r="Q156" s="811">
        <v>99971183</v>
      </c>
      <c r="R156" s="811">
        <v>0</v>
      </c>
      <c r="S156" s="811">
        <v>55467946</v>
      </c>
      <c r="T156" s="811">
        <v>2267395</v>
      </c>
      <c r="U156" s="811">
        <v>1139143</v>
      </c>
      <c r="V156" s="811">
        <v>385339145</v>
      </c>
      <c r="W156" s="811">
        <v>254213955</v>
      </c>
      <c r="X156" s="811">
        <v>14768926</v>
      </c>
      <c r="Y156" s="811">
        <v>343025494</v>
      </c>
      <c r="Z156" s="811">
        <v>19852885</v>
      </c>
      <c r="AA156" s="811">
        <v>284863000</v>
      </c>
      <c r="AB156" s="811">
        <v>40788913</v>
      </c>
      <c r="AD156" s="617">
        <f>SUM(H156:AB156)</f>
        <v>2010057500</v>
      </c>
    </row>
    <row r="157" spans="1:30" x14ac:dyDescent="0.2">
      <c r="A157" s="554"/>
      <c r="B157" s="211" t="s">
        <v>1366</v>
      </c>
      <c r="C157" s="554"/>
      <c r="D157" s="554"/>
      <c r="E157" s="550"/>
      <c r="F157" s="555"/>
      <c r="G157" s="811"/>
      <c r="H157" s="811">
        <v>10605052</v>
      </c>
      <c r="I157" s="811">
        <v>33265275</v>
      </c>
      <c r="J157" s="811">
        <v>68049415</v>
      </c>
      <c r="K157" s="811">
        <v>0</v>
      </c>
      <c r="L157" s="811">
        <v>34731530</v>
      </c>
      <c r="M157" s="811">
        <v>8086181</v>
      </c>
      <c r="N157" s="811">
        <v>7345919</v>
      </c>
      <c r="O157" s="1119">
        <f>105455+67531</f>
        <v>172986</v>
      </c>
      <c r="P157" s="811">
        <v>9631068</v>
      </c>
      <c r="Q157" s="811">
        <v>30763679</v>
      </c>
      <c r="R157" s="811">
        <v>62974</v>
      </c>
      <c r="S157" s="811">
        <v>14098821</v>
      </c>
      <c r="T157" s="811">
        <v>392080</v>
      </c>
      <c r="U157" s="811">
        <v>185730</v>
      </c>
      <c r="V157" s="811">
        <v>173911335</v>
      </c>
      <c r="W157" s="811">
        <v>85482157</v>
      </c>
      <c r="X157" s="1125">
        <f>3880742-64380</f>
        <v>3816362</v>
      </c>
      <c r="Y157" s="811">
        <v>67507894</v>
      </c>
      <c r="Z157" s="811">
        <v>6237736</v>
      </c>
      <c r="AA157" s="811">
        <v>109566000</v>
      </c>
      <c r="AB157" s="811">
        <v>8261776</v>
      </c>
      <c r="AD157" s="617">
        <f>SUM(H157:AB157)</f>
        <v>672173970</v>
      </c>
    </row>
    <row r="158" spans="1:30" x14ac:dyDescent="0.2">
      <c r="A158" s="554"/>
      <c r="B158" s="211" t="s">
        <v>1367</v>
      </c>
      <c r="C158" s="554"/>
      <c r="D158" s="554"/>
      <c r="E158" s="550"/>
      <c r="F158" s="555"/>
      <c r="G158" s="811"/>
      <c r="H158" s="811">
        <v>3193036</v>
      </c>
      <c r="I158" s="811">
        <v>8759929</v>
      </c>
      <c r="J158" s="811">
        <v>14627499</v>
      </c>
      <c r="K158" s="811">
        <v>0</v>
      </c>
      <c r="L158" s="811">
        <v>11780732</v>
      </c>
      <c r="M158" s="811">
        <v>2669704</v>
      </c>
      <c r="N158" s="811">
        <v>2190446</v>
      </c>
      <c r="O158" s="1119">
        <f>54402+1247</f>
        <v>55649</v>
      </c>
      <c r="P158" s="811">
        <v>2749094</v>
      </c>
      <c r="Q158" s="1119">
        <f>7952475+200034</f>
        <v>8152509</v>
      </c>
      <c r="R158" s="811">
        <v>0</v>
      </c>
      <c r="S158" s="811">
        <v>4700136</v>
      </c>
      <c r="T158" s="811">
        <v>129221</v>
      </c>
      <c r="U158" s="811">
        <v>59181</v>
      </c>
      <c r="V158" s="811">
        <v>19684596</v>
      </c>
      <c r="W158" s="811">
        <v>22635987</v>
      </c>
      <c r="X158" s="811">
        <v>822632</v>
      </c>
      <c r="Y158" s="811">
        <v>21435034</v>
      </c>
      <c r="Z158" s="811">
        <v>2131246</v>
      </c>
      <c r="AA158" s="811">
        <v>29504000</v>
      </c>
      <c r="AB158" s="811">
        <v>2303409</v>
      </c>
      <c r="AD158" s="617">
        <f>SUM(H158:AB158)</f>
        <v>157584040</v>
      </c>
    </row>
    <row r="159" spans="1:30" x14ac:dyDescent="0.2">
      <c r="A159" s="554"/>
      <c r="B159" s="554" t="s">
        <v>82</v>
      </c>
      <c r="C159" s="554"/>
      <c r="D159" s="554"/>
      <c r="E159" s="550"/>
      <c r="F159" s="555"/>
      <c r="G159" s="811"/>
      <c r="H159" s="811">
        <v>0</v>
      </c>
      <c r="I159" s="811">
        <v>0</v>
      </c>
      <c r="J159" s="811">
        <v>0</v>
      </c>
      <c r="K159" s="811">
        <v>0</v>
      </c>
      <c r="L159" s="811">
        <v>0</v>
      </c>
      <c r="M159" s="811">
        <v>0</v>
      </c>
      <c r="N159" s="811">
        <v>0</v>
      </c>
      <c r="O159" s="811">
        <v>0</v>
      </c>
      <c r="P159" s="811">
        <v>0</v>
      </c>
      <c r="Q159" s="811">
        <v>0</v>
      </c>
      <c r="R159" s="811">
        <v>0</v>
      </c>
      <c r="S159" s="811">
        <v>0</v>
      </c>
      <c r="T159" s="811">
        <v>0</v>
      </c>
      <c r="U159" s="811">
        <v>0</v>
      </c>
      <c r="V159" s="811">
        <v>109379799</v>
      </c>
      <c r="W159" s="811">
        <v>0</v>
      </c>
      <c r="X159" s="811">
        <v>0</v>
      </c>
      <c r="Y159" s="811">
        <v>0</v>
      </c>
      <c r="Z159" s="811">
        <v>0</v>
      </c>
      <c r="AA159" s="811">
        <v>4210000</v>
      </c>
      <c r="AB159" s="811">
        <v>0</v>
      </c>
    </row>
    <row r="160" spans="1:30" x14ac:dyDescent="0.2">
      <c r="A160" s="554"/>
      <c r="B160" s="545" t="s">
        <v>760</v>
      </c>
      <c r="C160" s="554"/>
      <c r="D160" s="554"/>
      <c r="E160" s="550"/>
      <c r="F160" s="555"/>
      <c r="G160" s="192"/>
      <c r="H160" s="811">
        <v>0</v>
      </c>
      <c r="I160" s="811">
        <v>322253</v>
      </c>
      <c r="J160" s="811">
        <v>1954271</v>
      </c>
      <c r="K160" s="811">
        <v>0</v>
      </c>
      <c r="L160" s="811">
        <v>9720897</v>
      </c>
      <c r="M160" s="811">
        <v>20692123</v>
      </c>
      <c r="N160" s="811">
        <v>0</v>
      </c>
      <c r="O160" s="811">
        <v>0</v>
      </c>
      <c r="P160" s="811">
        <v>44850</v>
      </c>
      <c r="Q160" s="811">
        <v>0</v>
      </c>
      <c r="R160" s="811">
        <v>0</v>
      </c>
      <c r="S160" s="811">
        <v>4878730</v>
      </c>
      <c r="T160" s="811">
        <v>0</v>
      </c>
      <c r="U160" s="811">
        <v>0</v>
      </c>
      <c r="V160" s="1122">
        <f>29819168+1805204</f>
        <v>31624372</v>
      </c>
      <c r="W160" s="811">
        <v>3144651</v>
      </c>
      <c r="X160" s="1125">
        <f>0+64380</f>
        <v>64380</v>
      </c>
      <c r="Y160" s="811">
        <v>0</v>
      </c>
      <c r="Z160" s="811">
        <v>0</v>
      </c>
      <c r="AA160" s="811">
        <v>0</v>
      </c>
      <c r="AB160" s="811">
        <v>1521882</v>
      </c>
    </row>
    <row r="161" spans="1:28" x14ac:dyDescent="0.2">
      <c r="A161" s="554"/>
      <c r="B161" s="554"/>
      <c r="C161" s="556" t="s">
        <v>291</v>
      </c>
      <c r="D161" s="554"/>
      <c r="E161" s="550"/>
      <c r="F161" s="550"/>
      <c r="G161" s="15">
        <f>SUM(G147:G160)</f>
        <v>0</v>
      </c>
      <c r="H161" s="15">
        <f t="shared" ref="H161:AB161" si="11">SUM(H147:H160)</f>
        <v>211193227</v>
      </c>
      <c r="I161" s="15">
        <f t="shared" si="11"/>
        <v>470801882</v>
      </c>
      <c r="J161" s="15">
        <f t="shared" si="11"/>
        <v>751904305</v>
      </c>
      <c r="K161" s="15">
        <f t="shared" si="11"/>
        <v>49029</v>
      </c>
      <c r="L161" s="15">
        <f t="shared" si="11"/>
        <v>581982136</v>
      </c>
      <c r="M161" s="15">
        <f t="shared" si="11"/>
        <v>98651247</v>
      </c>
      <c r="N161" s="15">
        <f t="shared" si="11"/>
        <v>282395829</v>
      </c>
      <c r="O161" s="15">
        <f t="shared" si="11"/>
        <v>1322798</v>
      </c>
      <c r="P161" s="15">
        <f t="shared" si="11"/>
        <v>134371523</v>
      </c>
      <c r="Q161" s="15">
        <f t="shared" si="11"/>
        <v>452039208</v>
      </c>
      <c r="R161" s="15">
        <f t="shared" si="11"/>
        <v>82398</v>
      </c>
      <c r="S161" s="15">
        <f t="shared" si="11"/>
        <v>160595619</v>
      </c>
      <c r="T161" s="15">
        <f t="shared" si="11"/>
        <v>3189668</v>
      </c>
      <c r="U161" s="15">
        <f t="shared" si="11"/>
        <v>1402176</v>
      </c>
      <c r="V161" s="15">
        <f t="shared" si="11"/>
        <v>4246671998</v>
      </c>
      <c r="W161" s="15">
        <f t="shared" si="11"/>
        <v>896895213</v>
      </c>
      <c r="X161" s="15">
        <f t="shared" si="11"/>
        <v>760238490</v>
      </c>
      <c r="Y161" s="15">
        <f t="shared" si="11"/>
        <v>536067055</v>
      </c>
      <c r="Z161" s="15">
        <f t="shared" si="11"/>
        <v>49655965</v>
      </c>
      <c r="AA161" s="15">
        <f t="shared" si="11"/>
        <v>1224018000</v>
      </c>
      <c r="AB161" s="15">
        <f t="shared" si="11"/>
        <v>124306332</v>
      </c>
    </row>
    <row r="162" spans="1:28" x14ac:dyDescent="0.2">
      <c r="A162" s="554"/>
      <c r="B162" s="554"/>
      <c r="C162" s="554"/>
      <c r="D162" s="554"/>
      <c r="E162" s="550"/>
      <c r="F162" s="550"/>
      <c r="G162" s="12"/>
      <c r="H162" s="12"/>
      <c r="I162" s="12"/>
      <c r="J162" s="12"/>
      <c r="K162" s="12"/>
      <c r="L162" s="12"/>
      <c r="M162" s="12"/>
      <c r="N162" s="12"/>
      <c r="O162" s="12"/>
      <c r="P162" s="12"/>
      <c r="Q162" s="12"/>
      <c r="R162" s="12"/>
      <c r="S162" s="12"/>
      <c r="T162" s="12"/>
      <c r="U162" s="12"/>
      <c r="V162" s="12"/>
      <c r="W162" s="12"/>
      <c r="X162" s="12"/>
      <c r="Y162" s="12"/>
      <c r="Z162" s="12"/>
      <c r="AA162" s="12"/>
      <c r="AB162" s="12"/>
    </row>
    <row r="163" spans="1:28" x14ac:dyDescent="0.2">
      <c r="A163" s="554"/>
      <c r="B163" s="554"/>
      <c r="C163" s="554"/>
      <c r="D163" s="554" t="s">
        <v>491</v>
      </c>
      <c r="E163" s="550"/>
      <c r="F163" s="550"/>
      <c r="G163" s="15">
        <f>SUM(G106,G108:G114,G121,G123:G124,G126:G127,G144,G161)</f>
        <v>0</v>
      </c>
      <c r="H163" s="15">
        <f t="shared" ref="H163:AB163" si="12">SUM(H106,H108:H114,H121,H123:H124,H126:H127,H144,H161)</f>
        <v>257485862</v>
      </c>
      <c r="I163" s="15">
        <f t="shared" si="12"/>
        <v>602765105</v>
      </c>
      <c r="J163" s="15">
        <f t="shared" si="12"/>
        <v>1075847262</v>
      </c>
      <c r="K163" s="15">
        <f t="shared" si="12"/>
        <v>6726562</v>
      </c>
      <c r="L163" s="15">
        <f t="shared" si="12"/>
        <v>722411102</v>
      </c>
      <c r="M163" s="15">
        <f t="shared" si="12"/>
        <v>122148687</v>
      </c>
      <c r="N163" s="15">
        <f t="shared" si="12"/>
        <v>315458591</v>
      </c>
      <c r="O163" s="15">
        <f t="shared" si="12"/>
        <v>1453285</v>
      </c>
      <c r="P163" s="15">
        <f t="shared" si="12"/>
        <v>170275200</v>
      </c>
      <c r="Q163" s="15">
        <f t="shared" si="12"/>
        <v>614279444</v>
      </c>
      <c r="R163" s="15">
        <f t="shared" si="12"/>
        <v>560218</v>
      </c>
      <c r="S163" s="15">
        <f t="shared" si="12"/>
        <v>222003582</v>
      </c>
      <c r="T163" s="15">
        <f t="shared" si="12"/>
        <v>3738933</v>
      </c>
      <c r="U163" s="15">
        <f t="shared" si="12"/>
        <v>2146717</v>
      </c>
      <c r="V163" s="15">
        <f t="shared" si="12"/>
        <v>5088877908</v>
      </c>
      <c r="W163" s="15">
        <f t="shared" si="12"/>
        <v>1194750043</v>
      </c>
      <c r="X163" s="15">
        <f t="shared" si="12"/>
        <v>1248915370</v>
      </c>
      <c r="Y163" s="15">
        <f t="shared" si="12"/>
        <v>730064373</v>
      </c>
      <c r="Z163" s="15">
        <f t="shared" si="12"/>
        <v>66744816</v>
      </c>
      <c r="AA163" s="15">
        <f t="shared" si="12"/>
        <v>1630258000</v>
      </c>
      <c r="AB163" s="15">
        <f t="shared" si="12"/>
        <v>171985734</v>
      </c>
    </row>
    <row r="164" spans="1:28" x14ac:dyDescent="0.2">
      <c r="A164" s="554"/>
      <c r="B164" s="554"/>
      <c r="C164" s="554"/>
      <c r="D164" s="554"/>
      <c r="E164" s="550"/>
      <c r="F164" s="550"/>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x14ac:dyDescent="0.2">
      <c r="A165" s="211" t="s">
        <v>852</v>
      </c>
      <c r="B165" s="10"/>
      <c r="C165" s="10"/>
      <c r="D165" s="10"/>
      <c r="E165" s="550"/>
      <c r="F165" s="550"/>
      <c r="G165" s="811"/>
      <c r="H165" s="811">
        <v>15193106</v>
      </c>
      <c r="I165" s="811">
        <v>43928416</v>
      </c>
      <c r="J165" s="811">
        <v>93432945</v>
      </c>
      <c r="K165" s="811">
        <v>505969</v>
      </c>
      <c r="L165" s="811">
        <v>55673822</v>
      </c>
      <c r="M165" s="811">
        <v>14042738</v>
      </c>
      <c r="N165" s="811">
        <v>15684977</v>
      </c>
      <c r="O165" s="811">
        <v>365479</v>
      </c>
      <c r="P165" s="811">
        <v>15914867</v>
      </c>
      <c r="Q165" s="1119">
        <f>40696483+1</f>
        <v>40696484</v>
      </c>
      <c r="R165" s="811">
        <v>3447892</v>
      </c>
      <c r="S165" s="811">
        <v>26748652</v>
      </c>
      <c r="T165" s="811">
        <v>974472</v>
      </c>
      <c r="U165" s="811">
        <v>509492</v>
      </c>
      <c r="V165" s="1122">
        <f>367987033+59</f>
        <v>367987092</v>
      </c>
      <c r="W165" s="811">
        <v>121839142</v>
      </c>
      <c r="X165" s="811">
        <v>49832918</v>
      </c>
      <c r="Y165" s="811">
        <v>144618565</v>
      </c>
      <c r="Z165" s="811">
        <v>8605232</v>
      </c>
      <c r="AA165" s="811">
        <v>130625000</v>
      </c>
      <c r="AB165" s="811">
        <v>17745250</v>
      </c>
    </row>
    <row r="166" spans="1:28" x14ac:dyDescent="0.2">
      <c r="A166" s="10"/>
      <c r="B166" s="10"/>
      <c r="C166" s="10"/>
      <c r="D166" s="10"/>
      <c r="E166" s="550"/>
      <c r="F166" s="550"/>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3.5" thickBot="1" x14ac:dyDescent="0.25">
      <c r="A167" s="10"/>
      <c r="B167" s="10"/>
      <c r="C167" s="10"/>
      <c r="D167" s="211" t="s">
        <v>942</v>
      </c>
      <c r="E167" s="550"/>
      <c r="F167" s="550"/>
      <c r="G167" s="20">
        <f>SUM(G163,G165)</f>
        <v>0</v>
      </c>
      <c r="H167" s="20">
        <f t="shared" ref="H167:AB167" si="13">SUM(H163,H165)</f>
        <v>272678968</v>
      </c>
      <c r="I167" s="20">
        <f t="shared" si="13"/>
        <v>646693521</v>
      </c>
      <c r="J167" s="20">
        <f t="shared" si="13"/>
        <v>1169280207</v>
      </c>
      <c r="K167" s="20">
        <f t="shared" si="13"/>
        <v>7232531</v>
      </c>
      <c r="L167" s="20">
        <f t="shared" si="13"/>
        <v>778084924</v>
      </c>
      <c r="M167" s="20">
        <f t="shared" si="13"/>
        <v>136191425</v>
      </c>
      <c r="N167" s="20">
        <f t="shared" si="13"/>
        <v>331143568</v>
      </c>
      <c r="O167" s="20">
        <f t="shared" si="13"/>
        <v>1818764</v>
      </c>
      <c r="P167" s="20">
        <f t="shared" si="13"/>
        <v>186190067</v>
      </c>
      <c r="Q167" s="20">
        <f t="shared" si="13"/>
        <v>654975928</v>
      </c>
      <c r="R167" s="20">
        <f t="shared" si="13"/>
        <v>4008110</v>
      </c>
      <c r="S167" s="20">
        <f t="shared" si="13"/>
        <v>248752234</v>
      </c>
      <c r="T167" s="20">
        <f t="shared" si="13"/>
        <v>4713405</v>
      </c>
      <c r="U167" s="20">
        <f t="shared" si="13"/>
        <v>2656209</v>
      </c>
      <c r="V167" s="20">
        <f t="shared" si="13"/>
        <v>5456865000</v>
      </c>
      <c r="W167" s="20">
        <f t="shared" si="13"/>
        <v>1316589185</v>
      </c>
      <c r="X167" s="20">
        <f t="shared" si="13"/>
        <v>1298748288</v>
      </c>
      <c r="Y167" s="20">
        <f t="shared" si="13"/>
        <v>874682938</v>
      </c>
      <c r="Z167" s="20">
        <f t="shared" si="13"/>
        <v>75350048</v>
      </c>
      <c r="AA167" s="20">
        <f t="shared" si="13"/>
        <v>1760883000</v>
      </c>
      <c r="AB167" s="20">
        <f t="shared" si="13"/>
        <v>189730984</v>
      </c>
    </row>
    <row r="168" spans="1:28" ht="13.5" thickTop="1" x14ac:dyDescent="0.2">
      <c r="A168" s="554"/>
      <c r="B168" s="554"/>
      <c r="C168" s="554"/>
      <c r="D168" s="554"/>
      <c r="E168" s="550"/>
      <c r="F168" s="550"/>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spans="1:28" x14ac:dyDescent="0.2">
      <c r="A169" s="547" t="s">
        <v>854</v>
      </c>
      <c r="B169" s="554"/>
      <c r="C169" s="554"/>
      <c r="D169" s="554"/>
      <c r="E169" s="550"/>
      <c r="F169" s="550"/>
      <c r="G169" s="12"/>
      <c r="H169" s="12"/>
      <c r="I169" s="12"/>
      <c r="J169" s="12"/>
      <c r="K169" s="12"/>
      <c r="L169" s="12"/>
      <c r="M169" s="12"/>
      <c r="N169" s="12"/>
      <c r="O169" s="12"/>
      <c r="P169" s="12"/>
      <c r="Q169" s="12"/>
      <c r="R169" s="12"/>
      <c r="S169" s="12"/>
      <c r="T169" s="12"/>
      <c r="U169" s="12"/>
      <c r="V169" s="12"/>
      <c r="W169" s="12"/>
      <c r="X169" s="12"/>
      <c r="Y169" s="12"/>
      <c r="Z169" s="12"/>
      <c r="AA169" s="12"/>
      <c r="AB169" s="12"/>
    </row>
    <row r="170" spans="1:28" x14ac:dyDescent="0.2">
      <c r="A170" s="556" t="s">
        <v>853</v>
      </c>
      <c r="B170" s="554"/>
      <c r="C170" s="554"/>
      <c r="D170" s="554"/>
      <c r="E170" s="550"/>
      <c r="F170" s="550"/>
      <c r="G170" s="192"/>
      <c r="H170" s="811">
        <v>433452879</v>
      </c>
      <c r="I170" s="811">
        <v>861471975</v>
      </c>
      <c r="J170" s="811">
        <v>820655824</v>
      </c>
      <c r="K170" s="811">
        <v>52256606</v>
      </c>
      <c r="L170" s="811">
        <v>946148606</v>
      </c>
      <c r="M170" s="811">
        <v>242252581</v>
      </c>
      <c r="N170" s="811">
        <v>192892372</v>
      </c>
      <c r="O170" s="811">
        <v>8536097</v>
      </c>
      <c r="P170" s="811">
        <v>197042539</v>
      </c>
      <c r="Q170" s="1122">
        <f>578171311+504447</f>
        <v>578675758</v>
      </c>
      <c r="R170" s="811">
        <v>26761593</v>
      </c>
      <c r="S170" s="1122">
        <f>349288893+4743857</f>
        <v>354032750</v>
      </c>
      <c r="T170" s="811">
        <v>1254249</v>
      </c>
      <c r="U170" s="811">
        <v>14690512</v>
      </c>
      <c r="V170" s="1122">
        <f>2313852879-12144296</f>
        <v>2301708583</v>
      </c>
      <c r="W170" s="811">
        <v>911208654</v>
      </c>
      <c r="X170" s="811">
        <v>1331799237</v>
      </c>
      <c r="Y170" s="811">
        <v>1286394140</v>
      </c>
      <c r="Z170" s="811">
        <v>412472258</v>
      </c>
      <c r="AA170" s="1125">
        <f>1888076000+3120000</f>
        <v>1891196000</v>
      </c>
      <c r="AB170" s="1125">
        <f>318977822-71172929</f>
        <v>247804893</v>
      </c>
    </row>
    <row r="171" spans="1:28" x14ac:dyDescent="0.2">
      <c r="A171" s="554" t="s">
        <v>762</v>
      </c>
      <c r="B171" s="554"/>
      <c r="C171" s="554"/>
      <c r="D171" s="554"/>
      <c r="E171" s="550"/>
      <c r="F171" s="550"/>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spans="1:28" x14ac:dyDescent="0.2">
      <c r="A172" s="554"/>
      <c r="B172" s="554" t="s">
        <v>763</v>
      </c>
      <c r="C172" s="554"/>
      <c r="D172" s="554"/>
      <c r="E172" s="550"/>
      <c r="F172" s="550"/>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x14ac:dyDescent="0.2">
      <c r="A173" s="554"/>
      <c r="B173" s="554"/>
      <c r="C173" s="554"/>
      <c r="D173" s="554"/>
      <c r="E173" s="550"/>
      <c r="F173" s="550"/>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row>
    <row r="174" spans="1:28" x14ac:dyDescent="0.2">
      <c r="A174" s="554"/>
      <c r="B174" s="554"/>
      <c r="C174" s="554"/>
      <c r="D174" s="554"/>
      <c r="E174" s="550"/>
      <c r="F174" s="550"/>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row>
    <row r="175" spans="1:28" x14ac:dyDescent="0.2">
      <c r="A175" s="554"/>
      <c r="B175" s="554"/>
      <c r="C175" s="554"/>
      <c r="D175" s="554"/>
      <c r="E175" s="550"/>
      <c r="F175" s="550"/>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row>
    <row r="176" spans="1:28" x14ac:dyDescent="0.2">
      <c r="A176" s="554"/>
      <c r="B176" s="554"/>
      <c r="C176" s="554"/>
      <c r="D176" s="554"/>
      <c r="E176" s="550"/>
      <c r="F176" s="550"/>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row>
    <row r="177" spans="1:28" x14ac:dyDescent="0.2">
      <c r="A177" s="554"/>
      <c r="B177" s="554"/>
      <c r="C177" s="554"/>
      <c r="D177" s="554"/>
      <c r="E177" s="550"/>
      <c r="F177" s="550"/>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row>
    <row r="178" spans="1:28" x14ac:dyDescent="0.2">
      <c r="A178" s="554"/>
      <c r="B178" s="554"/>
      <c r="C178" s="554"/>
      <c r="D178" s="554"/>
      <c r="E178" s="550"/>
      <c r="F178" s="550"/>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row>
    <row r="179" spans="1:28" x14ac:dyDescent="0.2">
      <c r="A179" s="554"/>
      <c r="B179" s="554"/>
      <c r="C179" s="545" t="s">
        <v>1022</v>
      </c>
      <c r="D179" s="554"/>
      <c r="E179" s="549"/>
      <c r="F179" s="550"/>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row>
    <row r="180" spans="1:28" x14ac:dyDescent="0.2">
      <c r="A180" s="554"/>
      <c r="B180" s="554"/>
      <c r="C180" s="545" t="s">
        <v>8</v>
      </c>
      <c r="D180" s="554"/>
      <c r="E180" s="550"/>
      <c r="F180" s="550"/>
      <c r="G180" s="192"/>
      <c r="H180" s="192">
        <v>0</v>
      </c>
      <c r="I180" s="192">
        <v>57394665</v>
      </c>
      <c r="J180" s="192">
        <v>7166911</v>
      </c>
      <c r="K180" s="192">
        <v>0</v>
      </c>
      <c r="L180" s="192">
        <v>0</v>
      </c>
      <c r="M180" s="192">
        <v>0</v>
      </c>
      <c r="N180" s="192">
        <v>0</v>
      </c>
      <c r="O180" s="192">
        <v>0</v>
      </c>
      <c r="P180" s="192">
        <v>0</v>
      </c>
      <c r="Q180" s="192">
        <v>6962713</v>
      </c>
      <c r="R180" s="192">
        <v>0</v>
      </c>
      <c r="S180" s="192">
        <v>0</v>
      </c>
      <c r="T180" s="192">
        <v>0</v>
      </c>
      <c r="U180" s="192">
        <v>0</v>
      </c>
      <c r="V180" s="192">
        <v>1357151963</v>
      </c>
      <c r="W180" s="192">
        <v>67365403</v>
      </c>
      <c r="X180" s="192">
        <v>22634649</v>
      </c>
      <c r="Y180" s="192">
        <v>116561</v>
      </c>
      <c r="Z180" s="192">
        <v>1274020</v>
      </c>
      <c r="AA180" s="192">
        <v>14249000</v>
      </c>
      <c r="AB180" s="192">
        <v>12988241</v>
      </c>
    </row>
    <row r="181" spans="1:28" x14ac:dyDescent="0.2">
      <c r="A181" s="554"/>
      <c r="B181" s="554"/>
      <c r="C181" s="554" t="s">
        <v>108</v>
      </c>
      <c r="D181" s="556" t="s">
        <v>109</v>
      </c>
      <c r="E181" s="550"/>
      <c r="F181" s="550"/>
      <c r="G181" s="15">
        <f>SUM(G173:G180)</f>
        <v>0</v>
      </c>
      <c r="H181" s="15">
        <f t="shared" ref="H181:AB181" si="14">SUM(H173:H180)</f>
        <v>0</v>
      </c>
      <c r="I181" s="15">
        <f t="shared" si="14"/>
        <v>57394665</v>
      </c>
      <c r="J181" s="15">
        <f t="shared" si="14"/>
        <v>7166911</v>
      </c>
      <c r="K181" s="15">
        <f t="shared" si="14"/>
        <v>0</v>
      </c>
      <c r="L181" s="15">
        <f t="shared" si="14"/>
        <v>0</v>
      </c>
      <c r="M181" s="15">
        <f t="shared" si="14"/>
        <v>0</v>
      </c>
      <c r="N181" s="15">
        <f t="shared" si="14"/>
        <v>0</v>
      </c>
      <c r="O181" s="15">
        <f t="shared" si="14"/>
        <v>0</v>
      </c>
      <c r="P181" s="15">
        <f t="shared" si="14"/>
        <v>0</v>
      </c>
      <c r="Q181" s="15">
        <f t="shared" si="14"/>
        <v>6962713</v>
      </c>
      <c r="R181" s="15">
        <f t="shared" si="14"/>
        <v>0</v>
      </c>
      <c r="S181" s="15">
        <f t="shared" si="14"/>
        <v>0</v>
      </c>
      <c r="T181" s="15">
        <f t="shared" si="14"/>
        <v>0</v>
      </c>
      <c r="U181" s="15">
        <f t="shared" si="14"/>
        <v>0</v>
      </c>
      <c r="V181" s="15">
        <f t="shared" si="14"/>
        <v>1357151963</v>
      </c>
      <c r="W181" s="15">
        <f t="shared" si="14"/>
        <v>67365403</v>
      </c>
      <c r="X181" s="15">
        <f t="shared" si="14"/>
        <v>22634649</v>
      </c>
      <c r="Y181" s="15">
        <f t="shared" si="14"/>
        <v>116561</v>
      </c>
      <c r="Z181" s="15">
        <f t="shared" si="14"/>
        <v>1274020</v>
      </c>
      <c r="AA181" s="15">
        <f t="shared" si="14"/>
        <v>14249000</v>
      </c>
      <c r="AB181" s="15">
        <f t="shared" si="14"/>
        <v>12988241</v>
      </c>
    </row>
    <row r="182" spans="1:28" x14ac:dyDescent="0.2">
      <c r="A182" s="554"/>
      <c r="B182" s="554" t="s">
        <v>764</v>
      </c>
      <c r="C182" s="554"/>
      <c r="D182" s="554"/>
      <c r="E182" s="550"/>
      <c r="F182" s="550"/>
      <c r="G182" s="12"/>
      <c r="H182" s="12"/>
      <c r="I182" s="12"/>
      <c r="J182" s="12"/>
      <c r="K182" s="12"/>
      <c r="L182" s="12"/>
      <c r="M182" s="12"/>
      <c r="N182" s="12"/>
      <c r="O182" s="12"/>
      <c r="P182" s="12"/>
      <c r="Q182" s="12"/>
      <c r="R182" s="12"/>
      <c r="S182" s="12"/>
      <c r="T182" s="12"/>
      <c r="U182" s="12"/>
      <c r="V182" s="12"/>
      <c r="W182" s="12"/>
      <c r="X182" s="12"/>
      <c r="Y182" s="12"/>
      <c r="Z182" s="12"/>
      <c r="AA182" s="12"/>
      <c r="AB182" s="12"/>
    </row>
    <row r="183" spans="1:28" x14ac:dyDescent="0.2">
      <c r="A183" s="554"/>
      <c r="B183" s="554"/>
      <c r="C183" s="554"/>
      <c r="D183" s="554"/>
      <c r="E183" s="550"/>
      <c r="F183" s="550"/>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row>
    <row r="184" spans="1:28" x14ac:dyDescent="0.2">
      <c r="A184" s="554"/>
      <c r="B184" s="554"/>
      <c r="C184" s="554"/>
      <c r="D184" s="554"/>
      <c r="E184" s="550"/>
      <c r="F184" s="550"/>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row>
    <row r="185" spans="1:28" x14ac:dyDescent="0.2">
      <c r="A185" s="554"/>
      <c r="B185" s="554"/>
      <c r="C185" s="554"/>
      <c r="D185" s="554"/>
      <c r="E185" s="550"/>
      <c r="F185" s="550"/>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row>
    <row r="186" spans="1:28" x14ac:dyDescent="0.2">
      <c r="A186" s="554"/>
      <c r="B186" s="554"/>
      <c r="C186" s="554"/>
      <c r="D186" s="554"/>
      <c r="E186" s="550"/>
      <c r="F186" s="550"/>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row>
    <row r="187" spans="1:28" x14ac:dyDescent="0.2">
      <c r="A187" s="554"/>
      <c r="B187" s="554"/>
      <c r="C187" s="554"/>
      <c r="D187" s="554"/>
      <c r="E187" s="550"/>
      <c r="F187" s="550"/>
      <c r="G187" s="264"/>
      <c r="H187" s="264"/>
      <c r="I187" s="264"/>
      <c r="J187" s="264"/>
      <c r="K187" s="264"/>
      <c r="L187" s="264"/>
      <c r="M187" s="264"/>
      <c r="N187" s="264"/>
      <c r="O187" s="264"/>
      <c r="P187" s="264"/>
      <c r="Q187" s="264"/>
      <c r="R187" s="264"/>
      <c r="S187" s="264"/>
      <c r="T187" s="264"/>
      <c r="U187" s="264"/>
      <c r="V187" s="264"/>
      <c r="W187" s="264"/>
      <c r="X187" s="264"/>
      <c r="Y187" s="264"/>
      <c r="Z187" s="264"/>
      <c r="AA187" s="264"/>
      <c r="AB187" s="264"/>
    </row>
    <row r="188" spans="1:28" x14ac:dyDescent="0.2">
      <c r="A188" s="554"/>
      <c r="B188" s="554"/>
      <c r="C188" s="554"/>
      <c r="D188" s="554"/>
      <c r="E188" s="550"/>
      <c r="F188" s="550"/>
      <c r="G188" s="264"/>
      <c r="H188" s="264"/>
      <c r="I188" s="264"/>
      <c r="J188" s="264"/>
      <c r="K188" s="264"/>
      <c r="L188" s="264"/>
      <c r="M188" s="264"/>
      <c r="N188" s="264"/>
      <c r="O188" s="264"/>
      <c r="P188" s="264"/>
      <c r="Q188" s="264"/>
      <c r="R188" s="264"/>
      <c r="S188" s="264"/>
      <c r="T188" s="264"/>
      <c r="U188" s="264"/>
      <c r="V188" s="264"/>
      <c r="W188" s="264"/>
      <c r="X188" s="264"/>
      <c r="Y188" s="264"/>
      <c r="Z188" s="264"/>
      <c r="AA188" s="264"/>
      <c r="AB188" s="264"/>
    </row>
    <row r="189" spans="1:28" x14ac:dyDescent="0.2">
      <c r="A189" s="554"/>
      <c r="B189" s="554"/>
      <c r="C189" s="554"/>
      <c r="D189" s="554"/>
      <c r="E189" s="550"/>
      <c r="F189" s="550"/>
      <c r="G189" s="858"/>
      <c r="H189" s="858"/>
      <c r="I189" s="858"/>
      <c r="J189" s="858"/>
      <c r="K189" s="858"/>
      <c r="L189" s="858"/>
      <c r="M189" s="858"/>
      <c r="N189" s="858"/>
      <c r="O189" s="858"/>
      <c r="P189" s="858"/>
      <c r="Q189" s="858"/>
      <c r="R189" s="858"/>
      <c r="S189" s="858"/>
      <c r="T189" s="858"/>
      <c r="U189" s="858"/>
      <c r="V189" s="858"/>
      <c r="W189" s="858"/>
      <c r="X189" s="858"/>
      <c r="Y189" s="858"/>
      <c r="Z189" s="858"/>
      <c r="AA189" s="858"/>
      <c r="AB189" s="858"/>
    </row>
    <row r="190" spans="1:28" x14ac:dyDescent="0.2">
      <c r="A190" s="554"/>
      <c r="B190" s="554"/>
      <c r="C190" s="554"/>
      <c r="D190" s="554"/>
      <c r="E190" s="550"/>
      <c r="F190" s="550"/>
      <c r="G190" s="858"/>
      <c r="H190" s="858"/>
      <c r="I190" s="858"/>
      <c r="J190" s="858"/>
      <c r="K190" s="858"/>
      <c r="L190" s="858"/>
      <c r="M190" s="858"/>
      <c r="N190" s="858"/>
      <c r="O190" s="858"/>
      <c r="P190" s="858"/>
      <c r="Q190" s="858"/>
      <c r="R190" s="858"/>
      <c r="S190" s="858"/>
      <c r="T190" s="858"/>
      <c r="U190" s="858"/>
      <c r="V190" s="858"/>
      <c r="W190" s="858"/>
      <c r="X190" s="858"/>
      <c r="Y190" s="858"/>
      <c r="Z190" s="858"/>
      <c r="AA190" s="858"/>
      <c r="AB190" s="858"/>
    </row>
    <row r="191" spans="1:28" x14ac:dyDescent="0.2">
      <c r="A191" s="554"/>
      <c r="B191" s="554"/>
      <c r="C191" s="554"/>
      <c r="D191" s="554"/>
      <c r="E191" s="550"/>
      <c r="F191" s="550"/>
      <c r="G191" s="858"/>
      <c r="H191" s="858"/>
      <c r="I191" s="858"/>
      <c r="J191" s="858"/>
      <c r="K191" s="858"/>
      <c r="L191" s="858"/>
      <c r="M191" s="858"/>
      <c r="N191" s="858"/>
      <c r="O191" s="858"/>
      <c r="P191" s="858"/>
      <c r="Q191" s="858"/>
      <c r="R191" s="858"/>
      <c r="S191" s="858"/>
      <c r="T191" s="858"/>
      <c r="U191" s="858"/>
      <c r="V191" s="858"/>
      <c r="W191" s="858"/>
      <c r="X191" s="858"/>
      <c r="Y191" s="858"/>
      <c r="Z191" s="858"/>
      <c r="AA191" s="858"/>
      <c r="AB191" s="858"/>
    </row>
    <row r="192" spans="1:28" x14ac:dyDescent="0.2">
      <c r="A192" s="554"/>
      <c r="B192" s="554"/>
      <c r="C192" s="554"/>
      <c r="D192" s="545" t="s">
        <v>1308</v>
      </c>
      <c r="E192" s="550"/>
      <c r="F192" s="550"/>
      <c r="G192" s="858"/>
      <c r="H192" s="858">
        <v>2063752</v>
      </c>
      <c r="I192" s="858">
        <v>3864731.31</v>
      </c>
      <c r="J192" s="858">
        <v>9550409</v>
      </c>
      <c r="K192" s="858">
        <v>0</v>
      </c>
      <c r="L192" s="858">
        <v>6933581</v>
      </c>
      <c r="M192" s="858">
        <v>1144192</v>
      </c>
      <c r="N192" s="858">
        <v>1190653</v>
      </c>
      <c r="O192" s="858">
        <v>58319</v>
      </c>
      <c r="P192" s="858">
        <v>2433418</v>
      </c>
      <c r="Q192" s="858">
        <v>5294926</v>
      </c>
      <c r="R192" s="858">
        <v>0</v>
      </c>
      <c r="S192" s="1124">
        <f>2874490+330724</f>
        <v>3205214</v>
      </c>
      <c r="T192" s="1124">
        <f>126166+19052</f>
        <v>145218</v>
      </c>
      <c r="U192" s="858">
        <v>72051</v>
      </c>
      <c r="V192" s="858">
        <v>21839910</v>
      </c>
      <c r="W192" s="858">
        <v>15599679</v>
      </c>
      <c r="X192" s="858">
        <v>0</v>
      </c>
      <c r="Y192" s="858">
        <v>21638636</v>
      </c>
      <c r="Z192" s="1127">
        <f>885863+115945</f>
        <v>1001808</v>
      </c>
      <c r="AA192" s="858">
        <v>10774000</v>
      </c>
      <c r="AB192" s="858">
        <v>2465072</v>
      </c>
    </row>
    <row r="193" spans="1:30" x14ac:dyDescent="0.2">
      <c r="A193" s="554"/>
      <c r="B193" s="554"/>
      <c r="C193" s="545" t="s">
        <v>1022</v>
      </c>
      <c r="D193" s="554"/>
      <c r="E193" s="549"/>
      <c r="F193" s="550"/>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row>
    <row r="194" spans="1:30" x14ac:dyDescent="0.2">
      <c r="A194" s="554"/>
      <c r="B194" s="554"/>
      <c r="C194" s="545" t="s">
        <v>8</v>
      </c>
      <c r="D194" s="554"/>
      <c r="E194" s="550"/>
      <c r="F194" s="550"/>
      <c r="G194" s="264"/>
      <c r="H194" s="858">
        <v>0</v>
      </c>
      <c r="I194" s="858">
        <v>55833991.689999998</v>
      </c>
      <c r="J194" s="858">
        <v>26953231</v>
      </c>
      <c r="K194" s="858">
        <v>1187181</v>
      </c>
      <c r="L194" s="858">
        <v>149423723</v>
      </c>
      <c r="M194" s="1121">
        <f>9175764+14581834</f>
        <v>23757598</v>
      </c>
      <c r="N194" s="858">
        <v>20343010</v>
      </c>
      <c r="O194" s="858">
        <v>0</v>
      </c>
      <c r="P194" s="858">
        <v>6019352</v>
      </c>
      <c r="Q194" s="858">
        <v>43671035</v>
      </c>
      <c r="R194" s="858">
        <v>294693</v>
      </c>
      <c r="S194" s="858">
        <v>61798944</v>
      </c>
      <c r="T194" s="858">
        <v>111996</v>
      </c>
      <c r="U194" s="858">
        <v>0</v>
      </c>
      <c r="V194" s="1124">
        <f>4839684657-29148712</f>
        <v>4810535945</v>
      </c>
      <c r="W194" s="858">
        <v>169212620</v>
      </c>
      <c r="X194" s="858">
        <v>4653219</v>
      </c>
      <c r="Y194" s="858">
        <v>151885930</v>
      </c>
      <c r="Z194" s="858">
        <v>30556791</v>
      </c>
      <c r="AA194" s="1127">
        <f>293954000+3652000</f>
        <v>297606000</v>
      </c>
      <c r="AB194" s="1127">
        <f>44857467+333744+71172929+450170</f>
        <v>116814310</v>
      </c>
    </row>
    <row r="195" spans="1:30" x14ac:dyDescent="0.2">
      <c r="A195" s="554"/>
      <c r="B195" s="554"/>
      <c r="C195" s="554"/>
      <c r="D195" s="556" t="s">
        <v>110</v>
      </c>
      <c r="E195" s="550"/>
      <c r="F195" s="550"/>
      <c r="G195" s="15">
        <f>SUM(G183:G194)</f>
        <v>0</v>
      </c>
      <c r="H195" s="15">
        <f t="shared" ref="H195:AB195" si="15">SUM(H183:H194)</f>
        <v>2063752</v>
      </c>
      <c r="I195" s="15">
        <f t="shared" si="15"/>
        <v>59698723</v>
      </c>
      <c r="J195" s="15">
        <f t="shared" si="15"/>
        <v>36503640</v>
      </c>
      <c r="K195" s="15">
        <f t="shared" si="15"/>
        <v>1187181</v>
      </c>
      <c r="L195" s="15">
        <f t="shared" si="15"/>
        <v>156357304</v>
      </c>
      <c r="M195" s="15">
        <f t="shared" si="15"/>
        <v>24901790</v>
      </c>
      <c r="N195" s="15">
        <f t="shared" si="15"/>
        <v>21533663</v>
      </c>
      <c r="O195" s="15">
        <f t="shared" si="15"/>
        <v>58319</v>
      </c>
      <c r="P195" s="15">
        <f t="shared" si="15"/>
        <v>8452770</v>
      </c>
      <c r="Q195" s="15">
        <f t="shared" si="15"/>
        <v>48965961</v>
      </c>
      <c r="R195" s="15">
        <f t="shared" si="15"/>
        <v>294693</v>
      </c>
      <c r="S195" s="15">
        <f t="shared" si="15"/>
        <v>65004158</v>
      </c>
      <c r="T195" s="15">
        <f t="shared" si="15"/>
        <v>257214</v>
      </c>
      <c r="U195" s="15">
        <f t="shared" si="15"/>
        <v>72051</v>
      </c>
      <c r="V195" s="15">
        <f t="shared" si="15"/>
        <v>4832375855</v>
      </c>
      <c r="W195" s="15">
        <f t="shared" si="15"/>
        <v>184812299</v>
      </c>
      <c r="X195" s="15">
        <f t="shared" si="15"/>
        <v>4653219</v>
      </c>
      <c r="Y195" s="15">
        <f t="shared" si="15"/>
        <v>173524566</v>
      </c>
      <c r="Z195" s="15">
        <f t="shared" si="15"/>
        <v>31558599</v>
      </c>
      <c r="AA195" s="15">
        <f t="shared" si="15"/>
        <v>308380000</v>
      </c>
      <c r="AB195" s="15">
        <f t="shared" si="15"/>
        <v>119279382</v>
      </c>
    </row>
    <row r="196" spans="1:30" x14ac:dyDescent="0.2">
      <c r="A196" s="554"/>
      <c r="B196" s="554"/>
      <c r="C196" s="554"/>
      <c r="D196" s="554"/>
      <c r="E196" s="550"/>
      <c r="F196" s="550"/>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spans="1:30" x14ac:dyDescent="0.2">
      <c r="A197" s="556" t="s">
        <v>495</v>
      </c>
      <c r="B197" s="554"/>
      <c r="C197" s="554"/>
      <c r="D197" s="554"/>
      <c r="E197" s="550"/>
      <c r="F197" s="550"/>
      <c r="G197" s="811"/>
      <c r="H197" s="811">
        <v>-31395001</v>
      </c>
      <c r="I197" s="1119">
        <f>18424138-4911</f>
        <v>18419227</v>
      </c>
      <c r="J197" s="811">
        <v>359695238</v>
      </c>
      <c r="K197" s="811">
        <v>16464713</v>
      </c>
      <c r="L197" s="811">
        <v>20233898</v>
      </c>
      <c r="M197" s="1119">
        <f>-49833384-14581834</f>
        <v>-64415218</v>
      </c>
      <c r="N197" s="811">
        <v>-16845159</v>
      </c>
      <c r="O197" s="1119">
        <f>1064450+74894</f>
        <v>1139344</v>
      </c>
      <c r="P197" s="1119">
        <f>13355668-18028140-1622074</f>
        <v>-6294546</v>
      </c>
      <c r="Q197" s="1119">
        <f>8628980-200034</f>
        <v>8428946</v>
      </c>
      <c r="R197" s="811">
        <v>2733675</v>
      </c>
      <c r="S197" s="1122">
        <f>53211002-330724-4743857</f>
        <v>48136421</v>
      </c>
      <c r="T197" s="1122">
        <f>-2692523-19052</f>
        <v>-2711575</v>
      </c>
      <c r="U197" s="811">
        <v>3129064</v>
      </c>
      <c r="V197" s="1122">
        <f>4012869672-59+38749595+37276995</f>
        <v>4088896203</v>
      </c>
      <c r="W197" s="811">
        <v>32318228</v>
      </c>
      <c r="X197" s="811">
        <v>1620340525</v>
      </c>
      <c r="Y197" s="811">
        <v>-199637982</v>
      </c>
      <c r="Z197" s="1125">
        <f>1787599-115945</f>
        <v>1671654</v>
      </c>
      <c r="AA197" s="1125">
        <f>291918000-3832000</f>
        <v>288086000</v>
      </c>
      <c r="AB197" s="1125">
        <f>20875664+530990+280741</f>
        <v>21687395</v>
      </c>
      <c r="AD197" s="546" t="s">
        <v>944</v>
      </c>
    </row>
    <row r="198" spans="1:30" ht="13.5" thickBot="1" x14ac:dyDescent="0.25">
      <c r="A198" s="556" t="s">
        <v>855</v>
      </c>
      <c r="B198" s="554"/>
      <c r="C198" s="554"/>
      <c r="D198" s="554"/>
      <c r="E198" s="550"/>
      <c r="F198" s="550"/>
      <c r="G198" s="20">
        <f>IF(SUM(G170,G181,G195,G197)=SUM(G95-G167),SUM(G170,G181,G195,G197),"ERROR")</f>
        <v>0</v>
      </c>
      <c r="H198" s="20">
        <f t="shared" ref="H198:AB198" si="16">IF(SUM(H170,H181,H195,H197)=SUM(H95-H167),SUM(H170,H181,H195,H197),"ERROR")</f>
        <v>404121630</v>
      </c>
      <c r="I198" s="20">
        <f t="shared" si="16"/>
        <v>996984590</v>
      </c>
      <c r="J198" s="20">
        <f t="shared" si="16"/>
        <v>1224021613</v>
      </c>
      <c r="K198" s="20">
        <f t="shared" si="16"/>
        <v>69908500</v>
      </c>
      <c r="L198" s="20">
        <f t="shared" si="16"/>
        <v>1122739808</v>
      </c>
      <c r="M198" s="20">
        <f t="shared" si="16"/>
        <v>202739153</v>
      </c>
      <c r="N198" s="20">
        <f t="shared" si="16"/>
        <v>197580876</v>
      </c>
      <c r="O198" s="20">
        <f t="shared" si="16"/>
        <v>9733760</v>
      </c>
      <c r="P198" s="20">
        <f t="shared" si="16"/>
        <v>199200763</v>
      </c>
      <c r="Q198" s="20">
        <f t="shared" si="16"/>
        <v>643033378</v>
      </c>
      <c r="R198" s="20">
        <f t="shared" si="16"/>
        <v>29789961</v>
      </c>
      <c r="S198" s="20">
        <f t="shared" si="16"/>
        <v>467173329</v>
      </c>
      <c r="T198" s="20">
        <f t="shared" si="16"/>
        <v>-1200112</v>
      </c>
      <c r="U198" s="20">
        <f t="shared" si="16"/>
        <v>17891627</v>
      </c>
      <c r="V198" s="20">
        <f t="shared" si="16"/>
        <v>12580132604</v>
      </c>
      <c r="W198" s="20">
        <f t="shared" si="16"/>
        <v>1195704584</v>
      </c>
      <c r="X198" s="20">
        <f t="shared" si="16"/>
        <v>2979427630</v>
      </c>
      <c r="Y198" s="20">
        <f t="shared" si="16"/>
        <v>1260397285</v>
      </c>
      <c r="Z198" s="20">
        <f t="shared" si="16"/>
        <v>446976531</v>
      </c>
      <c r="AA198" s="20">
        <f t="shared" si="16"/>
        <v>2501911000</v>
      </c>
      <c r="AB198" s="20">
        <f t="shared" si="16"/>
        <v>401759911</v>
      </c>
      <c r="AD198" s="617">
        <f>SUM(H198:AB198)</f>
        <v>26950028421</v>
      </c>
    </row>
    <row r="199" spans="1:30" ht="13.5" thickTop="1" x14ac:dyDescent="0.2">
      <c r="A199" s="554"/>
      <c r="B199" s="554"/>
      <c r="C199" s="554"/>
      <c r="D199" s="554"/>
      <c r="E199" s="550"/>
      <c r="F199" s="550"/>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spans="1:30" x14ac:dyDescent="0.2">
      <c r="A200" s="554"/>
      <c r="B200" s="546"/>
      <c r="C200" s="546"/>
      <c r="D200" s="546"/>
      <c r="E200" s="409" t="s">
        <v>203</v>
      </c>
      <c r="F200" s="550"/>
      <c r="G200" s="410">
        <f>G95-G167</f>
        <v>0</v>
      </c>
      <c r="H200" s="410">
        <f t="shared" ref="H200:AB200" si="17">H95-H167</f>
        <v>404121630</v>
      </c>
      <c r="I200" s="410">
        <f t="shared" si="17"/>
        <v>996984590</v>
      </c>
      <c r="J200" s="410">
        <f t="shared" si="17"/>
        <v>1224021613</v>
      </c>
      <c r="K200" s="410">
        <f t="shared" si="17"/>
        <v>69908500</v>
      </c>
      <c r="L200" s="410">
        <f t="shared" si="17"/>
        <v>1122739808</v>
      </c>
      <c r="M200" s="410">
        <f t="shared" si="17"/>
        <v>202739153</v>
      </c>
      <c r="N200" s="410">
        <f t="shared" si="17"/>
        <v>197580876</v>
      </c>
      <c r="O200" s="410">
        <f t="shared" si="17"/>
        <v>9733760</v>
      </c>
      <c r="P200" s="410">
        <f t="shared" si="17"/>
        <v>199200763</v>
      </c>
      <c r="Q200" s="410">
        <f t="shared" si="17"/>
        <v>643033378</v>
      </c>
      <c r="R200" s="410">
        <f t="shared" si="17"/>
        <v>29789961</v>
      </c>
      <c r="S200" s="410">
        <f t="shared" si="17"/>
        <v>467173329</v>
      </c>
      <c r="T200" s="410">
        <f t="shared" si="17"/>
        <v>-1200112</v>
      </c>
      <c r="U200" s="410">
        <f t="shared" si="17"/>
        <v>17891627</v>
      </c>
      <c r="V200" s="410">
        <f t="shared" si="17"/>
        <v>12580132604</v>
      </c>
      <c r="W200" s="410">
        <f t="shared" si="17"/>
        <v>1195704584</v>
      </c>
      <c r="X200" s="410">
        <f t="shared" si="17"/>
        <v>2979427630</v>
      </c>
      <c r="Y200" s="410">
        <f t="shared" si="17"/>
        <v>1260397285</v>
      </c>
      <c r="Z200" s="410">
        <f t="shared" si="17"/>
        <v>446976531</v>
      </c>
      <c r="AA200" s="410">
        <f t="shared" si="17"/>
        <v>2501911000</v>
      </c>
      <c r="AB200" s="410">
        <f t="shared" si="17"/>
        <v>401759911</v>
      </c>
    </row>
    <row r="201" spans="1:30" x14ac:dyDescent="0.2">
      <c r="A201" s="554"/>
      <c r="B201" s="563"/>
      <c r="C201" s="554"/>
      <c r="D201" s="554"/>
      <c r="E201" s="409" t="s">
        <v>943</v>
      </c>
      <c r="F201" s="550"/>
      <c r="G201" s="410">
        <f>SUM(G170,G181,G195,G197)</f>
        <v>0</v>
      </c>
      <c r="H201" s="410">
        <f t="shared" ref="H201:AB201" si="18">SUM(H170,H181,H195,H197)</f>
        <v>404121630</v>
      </c>
      <c r="I201" s="410">
        <f t="shared" si="18"/>
        <v>996984590</v>
      </c>
      <c r="J201" s="410">
        <f t="shared" si="18"/>
        <v>1224021613</v>
      </c>
      <c r="K201" s="410">
        <f t="shared" si="18"/>
        <v>69908500</v>
      </c>
      <c r="L201" s="410">
        <f t="shared" si="18"/>
        <v>1122739808</v>
      </c>
      <c r="M201" s="410">
        <f t="shared" si="18"/>
        <v>202739153</v>
      </c>
      <c r="N201" s="410">
        <f t="shared" si="18"/>
        <v>197580876</v>
      </c>
      <c r="O201" s="410">
        <f t="shared" si="18"/>
        <v>9733760</v>
      </c>
      <c r="P201" s="410">
        <f t="shared" si="18"/>
        <v>199200763</v>
      </c>
      <c r="Q201" s="410">
        <f t="shared" si="18"/>
        <v>643033378</v>
      </c>
      <c r="R201" s="410">
        <f t="shared" si="18"/>
        <v>29789961</v>
      </c>
      <c r="S201" s="410">
        <f t="shared" si="18"/>
        <v>467173329</v>
      </c>
      <c r="T201" s="410">
        <f t="shared" si="18"/>
        <v>-1200112</v>
      </c>
      <c r="U201" s="410">
        <f t="shared" si="18"/>
        <v>17891627</v>
      </c>
      <c r="V201" s="410">
        <f t="shared" si="18"/>
        <v>12580132604</v>
      </c>
      <c r="W201" s="410">
        <f t="shared" si="18"/>
        <v>1195704584</v>
      </c>
      <c r="X201" s="410">
        <f t="shared" si="18"/>
        <v>2979427630</v>
      </c>
      <c r="Y201" s="410">
        <f t="shared" si="18"/>
        <v>1260397285</v>
      </c>
      <c r="Z201" s="410">
        <f t="shared" si="18"/>
        <v>446976531</v>
      </c>
      <c r="AA201" s="410">
        <f t="shared" si="18"/>
        <v>2501911000</v>
      </c>
      <c r="AB201" s="410">
        <f t="shared" si="18"/>
        <v>401759911</v>
      </c>
    </row>
    <row r="202" spans="1:30" x14ac:dyDescent="0.2">
      <c r="A202" s="620"/>
      <c r="B202" s="621"/>
      <c r="C202" s="621"/>
      <c r="D202" s="621"/>
      <c r="E202" s="409" t="s">
        <v>114</v>
      </c>
      <c r="F202" s="550"/>
      <c r="G202" s="410">
        <f>G200-G201</f>
        <v>0</v>
      </c>
      <c r="H202" s="410">
        <f t="shared" ref="H202:AB202" si="19">H200-H201</f>
        <v>0</v>
      </c>
      <c r="I202" s="410">
        <f t="shared" si="19"/>
        <v>0</v>
      </c>
      <c r="J202" s="410">
        <f t="shared" si="19"/>
        <v>0</v>
      </c>
      <c r="K202" s="410">
        <f t="shared" si="19"/>
        <v>0</v>
      </c>
      <c r="L202" s="410">
        <f t="shared" si="19"/>
        <v>0</v>
      </c>
      <c r="M202" s="410">
        <f t="shared" si="19"/>
        <v>0</v>
      </c>
      <c r="N202" s="410">
        <f t="shared" si="19"/>
        <v>0</v>
      </c>
      <c r="O202" s="410">
        <f t="shared" si="19"/>
        <v>0</v>
      </c>
      <c r="P202" s="410">
        <f t="shared" si="19"/>
        <v>0</v>
      </c>
      <c r="Q202" s="410">
        <f t="shared" si="19"/>
        <v>0</v>
      </c>
      <c r="R202" s="410">
        <f t="shared" si="19"/>
        <v>0</v>
      </c>
      <c r="S202" s="410">
        <f t="shared" si="19"/>
        <v>0</v>
      </c>
      <c r="T202" s="410">
        <f t="shared" si="19"/>
        <v>0</v>
      </c>
      <c r="U202" s="410">
        <f t="shared" si="19"/>
        <v>0</v>
      </c>
      <c r="V202" s="410">
        <f t="shared" si="19"/>
        <v>0</v>
      </c>
      <c r="W202" s="410">
        <f t="shared" si="19"/>
        <v>0</v>
      </c>
      <c r="X202" s="410">
        <f t="shared" si="19"/>
        <v>0</v>
      </c>
      <c r="Y202" s="410">
        <f t="shared" si="19"/>
        <v>0</v>
      </c>
      <c r="Z202" s="410">
        <f t="shared" si="19"/>
        <v>0</v>
      </c>
      <c r="AA202" s="410">
        <f t="shared" si="19"/>
        <v>0</v>
      </c>
      <c r="AB202" s="410">
        <f t="shared" si="19"/>
        <v>0</v>
      </c>
    </row>
    <row r="203" spans="1:30" ht="39" customHeight="1" x14ac:dyDescent="0.2">
      <c r="A203" s="1156" t="s">
        <v>856</v>
      </c>
      <c r="B203" s="1159"/>
      <c r="C203" s="1159"/>
      <c r="D203" s="1159"/>
      <c r="E203" s="1158"/>
      <c r="F203" s="550"/>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spans="1:30" x14ac:dyDescent="0.2">
      <c r="A204" s="547"/>
      <c r="D204" s="554"/>
      <c r="E204" s="550"/>
      <c r="F204" s="550"/>
      <c r="G204" s="12"/>
      <c r="H204" s="12"/>
      <c r="I204" s="12"/>
      <c r="J204" s="12"/>
      <c r="K204" s="12"/>
      <c r="L204" s="12"/>
      <c r="M204" s="12"/>
      <c r="N204" s="12"/>
      <c r="O204" s="12"/>
      <c r="P204" s="12"/>
      <c r="Q204" s="12"/>
      <c r="R204" s="12"/>
      <c r="S204" s="12"/>
      <c r="T204" s="12"/>
      <c r="U204" s="12"/>
      <c r="V204" s="12"/>
      <c r="W204" s="12"/>
      <c r="X204" s="12"/>
      <c r="Y204" s="12"/>
      <c r="Z204" s="12"/>
      <c r="AA204" s="12"/>
      <c r="AB204" s="12"/>
    </row>
    <row r="205" spans="1:30" x14ac:dyDescent="0.2">
      <c r="A205" s="547" t="s">
        <v>490</v>
      </c>
      <c r="B205" s="554"/>
      <c r="C205" s="554"/>
      <c r="D205" s="554"/>
      <c r="E205" s="550"/>
      <c r="F205" s="550"/>
      <c r="G205" s="12"/>
      <c r="H205" s="12"/>
      <c r="I205" s="12"/>
      <c r="J205" s="12"/>
      <c r="K205" s="12"/>
      <c r="L205" s="12"/>
      <c r="M205" s="12"/>
      <c r="N205" s="12"/>
      <c r="O205" s="12"/>
      <c r="P205" s="12"/>
      <c r="Q205" s="12"/>
      <c r="R205" s="12"/>
      <c r="S205" s="12"/>
      <c r="T205" s="12"/>
      <c r="U205" s="12"/>
      <c r="V205" s="12"/>
      <c r="W205" s="12"/>
      <c r="X205" s="12"/>
      <c r="Y205" s="12"/>
      <c r="Z205" s="12"/>
      <c r="AA205" s="12"/>
      <c r="AB205" s="12"/>
    </row>
    <row r="206" spans="1:30" x14ac:dyDescent="0.2">
      <c r="A206" s="547"/>
      <c r="E206" s="550"/>
      <c r="H206" s="3"/>
      <c r="I206" s="3"/>
      <c r="J206" s="3"/>
      <c r="K206" s="3"/>
      <c r="L206" s="3"/>
      <c r="M206" s="3"/>
      <c r="N206" s="3"/>
      <c r="O206" s="3"/>
      <c r="P206" s="3"/>
      <c r="Q206" s="3"/>
      <c r="R206" s="3"/>
      <c r="S206" s="3"/>
      <c r="T206" s="3"/>
      <c r="U206" s="3"/>
      <c r="V206" s="3"/>
      <c r="W206" s="3"/>
      <c r="X206" s="3"/>
      <c r="Y206" s="3"/>
      <c r="Z206" s="3"/>
      <c r="AA206" s="3"/>
      <c r="AB206" s="3"/>
    </row>
    <row r="207" spans="1:30" x14ac:dyDescent="0.2">
      <c r="A207" s="547" t="s">
        <v>489</v>
      </c>
      <c r="B207" s="13"/>
      <c r="E207" s="550"/>
      <c r="H207" s="3"/>
      <c r="I207" s="3"/>
      <c r="J207" s="3"/>
      <c r="K207" s="3"/>
      <c r="L207" s="3"/>
      <c r="M207" s="3"/>
      <c r="N207" s="3"/>
      <c r="O207" s="3"/>
      <c r="P207" s="3"/>
      <c r="Q207" s="3"/>
      <c r="R207" s="3"/>
      <c r="S207" s="3"/>
      <c r="T207" s="3"/>
      <c r="U207" s="3"/>
      <c r="V207" s="3"/>
      <c r="W207" s="3"/>
      <c r="X207" s="3"/>
      <c r="Y207" s="3"/>
      <c r="Z207" s="3"/>
      <c r="AA207" s="3"/>
      <c r="AB207" s="3"/>
    </row>
    <row r="208" spans="1:30" x14ac:dyDescent="0.2">
      <c r="A208" s="554"/>
      <c r="B208" s="556" t="s">
        <v>444</v>
      </c>
      <c r="C208" s="556"/>
      <c r="E208" s="550"/>
      <c r="G208" s="812"/>
      <c r="H208" s="812">
        <v>110798601</v>
      </c>
      <c r="I208" s="812">
        <v>342142217</v>
      </c>
      <c r="J208" s="812">
        <v>594672563</v>
      </c>
      <c r="K208" s="812">
        <v>8689059</v>
      </c>
      <c r="L208" s="812">
        <v>450970256</v>
      </c>
      <c r="M208" s="812">
        <v>68247303</v>
      </c>
      <c r="N208" s="812">
        <v>62816979</v>
      </c>
      <c r="O208" s="812">
        <v>110598</v>
      </c>
      <c r="P208" s="812">
        <v>61405044</v>
      </c>
      <c r="Q208" s="812">
        <v>251126401</v>
      </c>
      <c r="R208" s="812">
        <v>1534391</v>
      </c>
      <c r="S208" s="812">
        <v>91737116</v>
      </c>
      <c r="T208" s="812">
        <v>603579</v>
      </c>
      <c r="U208" s="812">
        <v>1417433</v>
      </c>
      <c r="V208" s="1123">
        <f>3838055223+21270690</f>
        <v>3859325913</v>
      </c>
      <c r="W208" s="1126">
        <f>573141877+13808674</f>
        <v>586950551</v>
      </c>
      <c r="X208" s="812">
        <v>3051041202</v>
      </c>
      <c r="Y208" s="812">
        <v>262466897</v>
      </c>
      <c r="Z208" s="812">
        <v>50053132</v>
      </c>
      <c r="AA208" s="1126">
        <f>1016591000-297000</f>
        <v>1016294000</v>
      </c>
      <c r="AB208" s="812">
        <v>50871405</v>
      </c>
    </row>
    <row r="209" spans="1:30" x14ac:dyDescent="0.2">
      <c r="A209" s="554"/>
      <c r="B209" s="556" t="s">
        <v>399</v>
      </c>
      <c r="C209" s="556"/>
      <c r="E209" s="550"/>
      <c r="G209" s="812"/>
      <c r="H209" s="812">
        <v>8083062</v>
      </c>
      <c r="I209" s="812">
        <v>103934723</v>
      </c>
      <c r="J209" s="812">
        <v>269245635</v>
      </c>
      <c r="K209" s="812">
        <v>0</v>
      </c>
      <c r="L209" s="1120">
        <f>52896584+6368509</f>
        <v>59265093</v>
      </c>
      <c r="M209" s="812">
        <v>21668878</v>
      </c>
      <c r="N209" s="1120">
        <f>10915397+1079170+48409+60225</f>
        <v>12103201</v>
      </c>
      <c r="O209" s="1120">
        <f>178982+48960</f>
        <v>227942</v>
      </c>
      <c r="P209" s="812">
        <v>76058411</v>
      </c>
      <c r="Q209" s="1123">
        <f>86737342-377273+256781</f>
        <v>86616850</v>
      </c>
      <c r="R209" s="812">
        <v>21742</v>
      </c>
      <c r="S209" s="1123">
        <f>18230454+94442+2647547+117611</f>
        <v>21090054</v>
      </c>
      <c r="T209" s="1123">
        <f>744397+3357</f>
        <v>747754</v>
      </c>
      <c r="U209" s="812">
        <v>43671</v>
      </c>
      <c r="V209" s="1123">
        <f>723306258-27950395</f>
        <v>695355863</v>
      </c>
      <c r="W209" s="812">
        <v>376222878</v>
      </c>
      <c r="X209" s="1126">
        <f>3736934+713178</f>
        <v>4450112</v>
      </c>
      <c r="Y209" s="812">
        <v>459728240</v>
      </c>
      <c r="Z209" s="812">
        <v>24628460</v>
      </c>
      <c r="AA209" s="1126">
        <f>445972000+14824760</f>
        <v>460796760</v>
      </c>
      <c r="AB209" s="812">
        <v>59557246</v>
      </c>
    </row>
    <row r="210" spans="1:30" x14ac:dyDescent="0.2">
      <c r="A210" s="554"/>
      <c r="B210" s="556" t="s">
        <v>400</v>
      </c>
      <c r="C210" s="556"/>
      <c r="E210" s="550"/>
      <c r="G210" s="812"/>
      <c r="H210" s="812">
        <v>0</v>
      </c>
      <c r="I210" s="812">
        <v>8057569</v>
      </c>
      <c r="J210" s="812">
        <v>3006880</v>
      </c>
      <c r="K210" s="812">
        <v>20818531</v>
      </c>
      <c r="L210" s="812">
        <v>5872740</v>
      </c>
      <c r="M210" s="812">
        <v>150430</v>
      </c>
      <c r="N210" s="812">
        <v>29612</v>
      </c>
      <c r="O210" s="812">
        <v>0</v>
      </c>
      <c r="P210" s="812">
        <v>0</v>
      </c>
      <c r="Q210" s="812">
        <v>827055</v>
      </c>
      <c r="R210" s="812">
        <v>0</v>
      </c>
      <c r="S210" s="812">
        <v>70677</v>
      </c>
      <c r="T210" s="812">
        <v>0</v>
      </c>
      <c r="U210" s="812">
        <v>0</v>
      </c>
      <c r="V210" s="812">
        <v>92536569</v>
      </c>
      <c r="W210" s="812">
        <v>1919113</v>
      </c>
      <c r="X210" s="812">
        <v>17429482</v>
      </c>
      <c r="Y210" s="812">
        <v>44089203</v>
      </c>
      <c r="Z210" s="812">
        <v>10078606</v>
      </c>
      <c r="AA210" s="1126">
        <f>7412000+104000</f>
        <v>7516000</v>
      </c>
      <c r="AB210" s="812">
        <v>2866674</v>
      </c>
    </row>
    <row r="211" spans="1:30" x14ac:dyDescent="0.2">
      <c r="A211" s="554"/>
      <c r="B211" s="13"/>
      <c r="C211" s="554"/>
      <c r="E211" s="550"/>
      <c r="H211" s="3"/>
      <c r="I211" s="3"/>
      <c r="J211" s="3"/>
      <c r="K211" s="3"/>
      <c r="L211" s="3"/>
      <c r="M211" s="3"/>
      <c r="N211" s="3"/>
      <c r="O211" s="3"/>
      <c r="P211" s="3"/>
      <c r="Q211" s="3"/>
      <c r="R211" s="3"/>
      <c r="S211" s="3"/>
      <c r="T211" s="3"/>
      <c r="U211" s="3"/>
      <c r="V211" s="3"/>
      <c r="W211" s="3"/>
      <c r="X211" s="3"/>
      <c r="Y211" s="3"/>
      <c r="Z211" s="3"/>
      <c r="AA211" s="3"/>
      <c r="AB211" s="3"/>
    </row>
    <row r="212" spans="1:30" x14ac:dyDescent="0.2">
      <c r="A212" s="547" t="s">
        <v>123</v>
      </c>
      <c r="B212" s="13"/>
      <c r="C212" s="554"/>
      <c r="E212" s="550"/>
      <c r="H212" s="3"/>
      <c r="I212" s="3"/>
      <c r="J212" s="3"/>
      <c r="K212" s="3"/>
      <c r="L212" s="3"/>
      <c r="M212" s="3"/>
      <c r="N212" s="3"/>
      <c r="O212" s="3"/>
      <c r="P212" s="3"/>
      <c r="Q212" s="3"/>
      <c r="R212" s="3"/>
      <c r="S212" s="3"/>
      <c r="T212" s="3"/>
      <c r="U212" s="3"/>
      <c r="V212" s="3"/>
      <c r="W212" s="3"/>
      <c r="X212" s="3"/>
      <c r="Y212" s="3"/>
      <c r="Z212" s="3"/>
      <c r="AA212" s="3"/>
      <c r="AB212" s="3"/>
    </row>
    <row r="213" spans="1:30" x14ac:dyDescent="0.2">
      <c r="A213" s="556" t="s">
        <v>122</v>
      </c>
      <c r="B213" s="13"/>
      <c r="C213" s="554"/>
      <c r="E213" s="550"/>
      <c r="G213" s="812"/>
      <c r="H213" s="812">
        <v>180009779</v>
      </c>
      <c r="I213" s="1120">
        <f>578119961+4911</f>
        <v>578124872</v>
      </c>
      <c r="J213" s="1120">
        <f>1146370436+17973171</f>
        <v>1164343607</v>
      </c>
      <c r="K213" s="812">
        <v>24541738</v>
      </c>
      <c r="L213" s="1120">
        <f>631805438+6368509</f>
        <v>638173947</v>
      </c>
      <c r="M213" s="812">
        <v>146269581</v>
      </c>
      <c r="N213" s="1120">
        <f>125351025+1079170+48409+60225</f>
        <v>126538829</v>
      </c>
      <c r="O213" s="1120">
        <f>3219063+48960-74894</f>
        <v>3193129</v>
      </c>
      <c r="P213" s="1120">
        <f>228425124+1622074</f>
        <v>230047198</v>
      </c>
      <c r="Q213" s="1120">
        <f>576692294-377273+256781+200034+9560936-504447</f>
        <v>585828325</v>
      </c>
      <c r="R213" s="812">
        <v>5456059</v>
      </c>
      <c r="S213" s="1123">
        <f>218281591+94442+2647547+117611</f>
        <v>221141191</v>
      </c>
      <c r="T213" s="1123">
        <f>6616186+3357</f>
        <v>6619543</v>
      </c>
      <c r="U213" s="812">
        <v>5071101</v>
      </c>
      <c r="V213" s="1123">
        <f>5083489093+59-16578543-3627329</f>
        <v>5063283280</v>
      </c>
      <c r="W213" s="1126">
        <f>1323915838+13808674</f>
        <v>1337724512</v>
      </c>
      <c r="X213" s="1126">
        <f>3182803383+713178</f>
        <v>3183516561</v>
      </c>
      <c r="Y213" s="812">
        <v>1340192099</v>
      </c>
      <c r="Z213" s="812">
        <v>115123571</v>
      </c>
      <c r="AA213" s="1126">
        <f>1807577000+12249760</f>
        <v>1819826760</v>
      </c>
      <c r="AB213" s="1126">
        <f>200263917-530990</f>
        <v>199732927</v>
      </c>
    </row>
    <row r="214" spans="1:30" x14ac:dyDescent="0.2">
      <c r="A214" s="556" t="s">
        <v>642</v>
      </c>
      <c r="B214" s="13"/>
      <c r="C214" s="554"/>
      <c r="E214" s="549"/>
      <c r="G214" s="812"/>
      <c r="H214" s="812">
        <v>109328</v>
      </c>
      <c r="I214" s="812">
        <v>1677086</v>
      </c>
      <c r="J214" s="812">
        <v>289659</v>
      </c>
      <c r="K214" s="812">
        <v>0</v>
      </c>
      <c r="L214" s="812">
        <v>658561</v>
      </c>
      <c r="M214" s="812">
        <v>885355</v>
      </c>
      <c r="N214" s="812">
        <v>-28215</v>
      </c>
      <c r="O214" s="812">
        <v>0</v>
      </c>
      <c r="P214" s="812">
        <v>0</v>
      </c>
      <c r="Q214" s="812">
        <v>178179</v>
      </c>
      <c r="R214" s="812">
        <v>0</v>
      </c>
      <c r="S214" s="812">
        <v>0</v>
      </c>
      <c r="T214" s="812">
        <v>0</v>
      </c>
      <c r="U214" s="812">
        <v>48415</v>
      </c>
      <c r="V214" s="812">
        <v>333120</v>
      </c>
      <c r="W214" s="812">
        <v>2028369</v>
      </c>
      <c r="X214" s="812">
        <v>0</v>
      </c>
      <c r="Y214" s="812">
        <v>0</v>
      </c>
      <c r="Z214" s="812">
        <v>3205206</v>
      </c>
      <c r="AA214" s="1126">
        <f>0+1473000</f>
        <v>1473000</v>
      </c>
      <c r="AB214" s="812">
        <v>0</v>
      </c>
    </row>
    <row r="215" spans="1:30" x14ac:dyDescent="0.2">
      <c r="A215" s="547"/>
      <c r="B215" s="13"/>
      <c r="E215" s="550"/>
      <c r="H215" s="3"/>
      <c r="I215" s="3"/>
      <c r="J215" s="3"/>
      <c r="K215" s="3"/>
      <c r="L215" s="3"/>
      <c r="M215" s="3"/>
      <c r="N215" s="3"/>
      <c r="O215" s="3"/>
      <c r="P215" s="3"/>
      <c r="Q215" s="3"/>
      <c r="R215" s="3"/>
      <c r="S215" s="3"/>
      <c r="T215" s="3"/>
      <c r="U215" s="3"/>
      <c r="V215" s="3"/>
      <c r="W215" s="3"/>
      <c r="X215" s="3"/>
      <c r="Y215" s="3"/>
      <c r="Z215" s="3"/>
      <c r="AA215" s="3"/>
      <c r="AB215" s="3"/>
    </row>
    <row r="216" spans="1:30" x14ac:dyDescent="0.2">
      <c r="A216" s="547" t="s">
        <v>474</v>
      </c>
      <c r="B216" s="25"/>
      <c r="E216" s="550"/>
      <c r="G216" s="26">
        <f>SUM(G208:G210)-SUM(G213,G214)</f>
        <v>0</v>
      </c>
      <c r="H216" s="26">
        <f t="shared" ref="H216:AB216" si="20">SUM(H208:H210)-SUM(H213,H214)</f>
        <v>-61237444</v>
      </c>
      <c r="I216" s="26">
        <f t="shared" si="20"/>
        <v>-125667449</v>
      </c>
      <c r="J216" s="26">
        <f t="shared" si="20"/>
        <v>-297708188</v>
      </c>
      <c r="K216" s="26">
        <f t="shared" si="20"/>
        <v>4965852</v>
      </c>
      <c r="L216" s="26">
        <f t="shared" si="20"/>
        <v>-122724419</v>
      </c>
      <c r="M216" s="26">
        <f t="shared" si="20"/>
        <v>-57088325</v>
      </c>
      <c r="N216" s="26">
        <f t="shared" si="20"/>
        <v>-51560822</v>
      </c>
      <c r="O216" s="26">
        <f t="shared" si="20"/>
        <v>-2854589</v>
      </c>
      <c r="P216" s="26">
        <f t="shared" si="20"/>
        <v>-92583743</v>
      </c>
      <c r="Q216" s="26">
        <f>SUM(Q208:Q210)-SUM(Q213,Q214)</f>
        <v>-247436198</v>
      </c>
      <c r="R216" s="26">
        <f t="shared" si="20"/>
        <v>-3899926</v>
      </c>
      <c r="S216" s="26">
        <f t="shared" si="20"/>
        <v>-108243344</v>
      </c>
      <c r="T216" s="26">
        <f t="shared" si="20"/>
        <v>-5268210</v>
      </c>
      <c r="U216" s="26">
        <f t="shared" si="20"/>
        <v>-3658412</v>
      </c>
      <c r="V216" s="26">
        <f>SUM(V208:V210)-SUM(V213,V214)</f>
        <v>-416398055</v>
      </c>
      <c r="W216" s="26">
        <f t="shared" si="20"/>
        <v>-374660339</v>
      </c>
      <c r="X216" s="26">
        <f t="shared" si="20"/>
        <v>-110595765</v>
      </c>
      <c r="Y216" s="26">
        <f t="shared" si="20"/>
        <v>-573907759</v>
      </c>
      <c r="Z216" s="26">
        <f t="shared" si="20"/>
        <v>-33568579</v>
      </c>
      <c r="AA216" s="26">
        <f t="shared" si="20"/>
        <v>-336693000</v>
      </c>
      <c r="AB216" s="26">
        <f t="shared" si="20"/>
        <v>-86437602</v>
      </c>
    </row>
    <row r="217" spans="1:30" x14ac:dyDescent="0.2">
      <c r="A217" s="554"/>
      <c r="B217" s="25"/>
      <c r="E217" s="550"/>
      <c r="H217" s="3"/>
      <c r="I217" s="3"/>
      <c r="J217" s="3"/>
      <c r="K217" s="3"/>
      <c r="L217" s="3"/>
      <c r="M217" s="3"/>
      <c r="N217" s="3"/>
      <c r="O217" s="3"/>
      <c r="P217" s="3"/>
      <c r="Q217" s="3"/>
      <c r="R217" s="3"/>
      <c r="S217" s="3"/>
      <c r="T217" s="3"/>
      <c r="U217" s="3"/>
      <c r="V217" s="3"/>
      <c r="W217" s="3"/>
      <c r="X217" s="3"/>
      <c r="Y217" s="3"/>
      <c r="Z217" s="3"/>
      <c r="AA217" s="3"/>
      <c r="AB217" s="3"/>
    </row>
    <row r="218" spans="1:30" x14ac:dyDescent="0.2">
      <c r="A218" s="547" t="s">
        <v>465</v>
      </c>
      <c r="B218" s="554"/>
      <c r="E218" s="550"/>
      <c r="H218" s="3"/>
      <c r="I218" s="3"/>
      <c r="J218" s="3"/>
      <c r="K218" s="3"/>
      <c r="L218" s="3"/>
      <c r="M218" s="3"/>
      <c r="N218" s="3"/>
      <c r="O218" s="3"/>
      <c r="P218" s="3"/>
      <c r="Q218" s="3"/>
      <c r="R218" s="3"/>
      <c r="S218" s="3"/>
      <c r="T218" s="3"/>
      <c r="U218" s="3"/>
      <c r="V218" s="3"/>
      <c r="W218" s="3"/>
      <c r="X218" s="3"/>
      <c r="Y218" s="3"/>
      <c r="Z218" s="3"/>
      <c r="AA218" s="3"/>
      <c r="AB218" s="3"/>
    </row>
    <row r="219" spans="1:30" x14ac:dyDescent="0.2">
      <c r="A219" s="13" t="s">
        <v>540</v>
      </c>
      <c r="E219" s="550"/>
      <c r="H219" s="3"/>
      <c r="I219" s="3"/>
      <c r="J219" s="3"/>
      <c r="K219" s="3"/>
      <c r="L219" s="3"/>
      <c r="M219" s="3"/>
      <c r="N219" s="3"/>
      <c r="O219" s="3"/>
      <c r="P219" s="3"/>
      <c r="Q219" s="3"/>
      <c r="R219" s="3"/>
      <c r="S219" s="3"/>
      <c r="T219" s="3"/>
      <c r="U219" s="3"/>
      <c r="V219" s="3"/>
      <c r="W219" s="3"/>
      <c r="X219" s="3"/>
      <c r="Y219" s="3"/>
      <c r="Z219" s="3"/>
      <c r="AA219" s="3"/>
      <c r="AB219" s="3"/>
    </row>
    <row r="220" spans="1:30" x14ac:dyDescent="0.2">
      <c r="A220" s="13" t="s">
        <v>275</v>
      </c>
      <c r="B220" s="554"/>
      <c r="E220" s="550"/>
      <c r="H220" s="3"/>
      <c r="I220" s="3"/>
      <c r="J220" s="3"/>
      <c r="K220" s="3"/>
      <c r="L220" s="3"/>
      <c r="M220" s="3"/>
      <c r="N220" s="3"/>
      <c r="O220" s="3"/>
      <c r="P220" s="3"/>
      <c r="Q220" s="3"/>
      <c r="R220" s="3"/>
      <c r="S220" s="3"/>
      <c r="T220" s="3"/>
      <c r="U220" s="3"/>
      <c r="V220" s="3"/>
      <c r="W220" s="3"/>
      <c r="X220" s="3"/>
      <c r="Y220" s="3"/>
      <c r="Z220" s="3"/>
      <c r="AA220" s="3"/>
      <c r="AB220" s="3"/>
    </row>
    <row r="221" spans="1:30" x14ac:dyDescent="0.2">
      <c r="A221" s="554"/>
      <c r="B221" s="23" t="s">
        <v>1023</v>
      </c>
      <c r="C221" s="13"/>
      <c r="D221" s="13"/>
      <c r="E221" s="557"/>
      <c r="G221" s="195"/>
      <c r="H221" s="812">
        <v>47128924</v>
      </c>
      <c r="I221" s="812">
        <v>112328305</v>
      </c>
      <c r="J221" s="812">
        <v>223475734</v>
      </c>
      <c r="K221" s="812">
        <v>0</v>
      </c>
      <c r="L221" s="812">
        <v>164849789</v>
      </c>
      <c r="M221" s="812">
        <v>42116202</v>
      </c>
      <c r="N221" s="812">
        <v>44705864</v>
      </c>
      <c r="O221" s="812">
        <v>0</v>
      </c>
      <c r="P221" s="1120">
        <f>83894156+12465998</f>
        <v>96360154</v>
      </c>
      <c r="Q221" s="812">
        <v>199771595</v>
      </c>
      <c r="R221" s="812">
        <v>0</v>
      </c>
      <c r="S221" s="812">
        <v>94575756</v>
      </c>
      <c r="T221" s="812">
        <v>0</v>
      </c>
      <c r="U221" s="812">
        <v>0</v>
      </c>
      <c r="V221" s="812">
        <v>208044365</v>
      </c>
      <c r="W221" s="812">
        <v>255217414</v>
      </c>
      <c r="X221" s="812">
        <v>0</v>
      </c>
      <c r="Y221" s="812">
        <v>679041968</v>
      </c>
      <c r="Z221" s="812">
        <v>30119631</v>
      </c>
      <c r="AA221" s="812">
        <v>327212000</v>
      </c>
      <c r="AB221" s="812">
        <v>75015834</v>
      </c>
      <c r="AD221" s="617">
        <f>SUM(H221:AB221)</f>
        <v>2599963535</v>
      </c>
    </row>
    <row r="222" spans="1:30" x14ac:dyDescent="0.2">
      <c r="A222" s="554"/>
      <c r="B222" s="23" t="s">
        <v>1132</v>
      </c>
      <c r="C222" s="13"/>
      <c r="D222" s="13"/>
      <c r="E222" s="557"/>
      <c r="G222" s="195"/>
      <c r="H222" s="812">
        <v>0</v>
      </c>
      <c r="I222" s="812">
        <v>-157710</v>
      </c>
      <c r="J222" s="812">
        <v>0</v>
      </c>
      <c r="K222" s="812">
        <v>0</v>
      </c>
      <c r="L222" s="812">
        <v>-23215191</v>
      </c>
      <c r="M222" s="812">
        <v>-564435</v>
      </c>
      <c r="N222" s="812">
        <v>-1222279</v>
      </c>
      <c r="O222" s="812">
        <v>0</v>
      </c>
      <c r="P222" s="812">
        <v>-18028140</v>
      </c>
      <c r="Q222" s="812">
        <v>-5071500</v>
      </c>
      <c r="R222" s="812">
        <v>0</v>
      </c>
      <c r="S222" s="812">
        <v>-6265161</v>
      </c>
      <c r="T222" s="812">
        <v>0</v>
      </c>
      <c r="U222" s="812">
        <v>0</v>
      </c>
      <c r="V222" s="812">
        <v>0</v>
      </c>
      <c r="W222" s="812">
        <v>0</v>
      </c>
      <c r="X222" s="812">
        <v>0</v>
      </c>
      <c r="Y222" s="812">
        <v>-128085159</v>
      </c>
      <c r="Z222" s="812">
        <v>-6646121</v>
      </c>
      <c r="AA222" s="812">
        <v>0</v>
      </c>
      <c r="AB222" s="812">
        <v>-5400729</v>
      </c>
      <c r="AD222" s="617">
        <f t="shared" ref="AD222:AD227" si="21">SUM(H222:AB222)</f>
        <v>-194656425</v>
      </c>
    </row>
    <row r="223" spans="1:30" x14ac:dyDescent="0.2">
      <c r="A223" s="554"/>
      <c r="B223" s="23" t="s">
        <v>1133</v>
      </c>
      <c r="C223" s="13"/>
      <c r="D223" s="13"/>
      <c r="E223" s="557"/>
      <c r="G223" s="195"/>
      <c r="H223" s="812">
        <v>-149407</v>
      </c>
      <c r="I223" s="812">
        <v>-1912009</v>
      </c>
      <c r="J223" s="812">
        <v>-3010155</v>
      </c>
      <c r="K223" s="812">
        <v>0</v>
      </c>
      <c r="L223" s="812">
        <v>-3098291</v>
      </c>
      <c r="M223" s="812">
        <v>-160895</v>
      </c>
      <c r="N223" s="812">
        <v>-331897</v>
      </c>
      <c r="O223" s="812">
        <v>0</v>
      </c>
      <c r="P223" s="812">
        <v>-529343</v>
      </c>
      <c r="Q223" s="812">
        <v>-1483372</v>
      </c>
      <c r="R223" s="812">
        <v>0</v>
      </c>
      <c r="S223" s="812">
        <v>-435721</v>
      </c>
      <c r="T223" s="812">
        <v>0</v>
      </c>
      <c r="U223" s="812">
        <v>0</v>
      </c>
      <c r="V223" s="812">
        <v>-6162858</v>
      </c>
      <c r="W223" s="812">
        <v>-2760913</v>
      </c>
      <c r="X223" s="812">
        <v>0</v>
      </c>
      <c r="Y223" s="812">
        <v>-3935322</v>
      </c>
      <c r="Z223" s="812">
        <v>-489314</v>
      </c>
      <c r="AA223" s="812">
        <v>-6185000</v>
      </c>
      <c r="AB223" s="812">
        <v>-882463</v>
      </c>
      <c r="AD223" s="617">
        <f t="shared" si="21"/>
        <v>-31526960</v>
      </c>
    </row>
    <row r="224" spans="1:30" hidden="1" x14ac:dyDescent="0.2">
      <c r="A224" s="554"/>
      <c r="B224" s="23" t="s">
        <v>1026</v>
      </c>
      <c r="C224" s="13"/>
      <c r="D224" s="13"/>
      <c r="E224" s="557"/>
      <c r="G224" s="195"/>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D224" s="617">
        <f t="shared" si="21"/>
        <v>0</v>
      </c>
    </row>
    <row r="225" spans="1:30" hidden="1" x14ac:dyDescent="0.2">
      <c r="A225" s="554"/>
      <c r="B225" s="13"/>
      <c r="C225" s="13"/>
      <c r="D225" s="13"/>
      <c r="E225" s="619"/>
      <c r="G225" s="195"/>
      <c r="H225" s="812"/>
      <c r="I225" s="812"/>
      <c r="J225" s="812"/>
      <c r="K225" s="812"/>
      <c r="L225" s="812"/>
      <c r="M225" s="812"/>
      <c r="N225" s="812"/>
      <c r="O225" s="812"/>
      <c r="P225" s="812"/>
      <c r="Q225" s="812"/>
      <c r="R225" s="812"/>
      <c r="S225" s="812"/>
      <c r="T225" s="812"/>
      <c r="U225" s="812"/>
      <c r="V225" s="812"/>
      <c r="W225" s="812"/>
      <c r="X225" s="812"/>
      <c r="Y225" s="812"/>
      <c r="Z225" s="812"/>
      <c r="AA225" s="812"/>
      <c r="AB225" s="812"/>
      <c r="AD225" s="617">
        <f t="shared" si="21"/>
        <v>0</v>
      </c>
    </row>
    <row r="226" spans="1:30" x14ac:dyDescent="0.2">
      <c r="A226" s="554"/>
      <c r="B226" s="13" t="s">
        <v>482</v>
      </c>
      <c r="C226" s="13"/>
      <c r="D226" s="13"/>
      <c r="E226" s="557"/>
      <c r="G226" s="195"/>
      <c r="H226" s="812">
        <v>6856619</v>
      </c>
      <c r="I226" s="812">
        <v>7957147</v>
      </c>
      <c r="J226" s="812">
        <v>46081008</v>
      </c>
      <c r="K226" s="812">
        <v>7325903</v>
      </c>
      <c r="L226" s="812">
        <v>14977947</v>
      </c>
      <c r="M226" s="812">
        <v>7064471</v>
      </c>
      <c r="N226" s="812">
        <v>7163458</v>
      </c>
      <c r="O226" s="812">
        <v>4024336</v>
      </c>
      <c r="P226" s="812">
        <v>24728062</v>
      </c>
      <c r="Q226" s="812">
        <v>48601671</v>
      </c>
      <c r="R226" s="812">
        <v>2071045</v>
      </c>
      <c r="S226" s="812">
        <v>15859490</v>
      </c>
      <c r="T226" s="812">
        <v>5345219</v>
      </c>
      <c r="U226" s="812">
        <v>4132258</v>
      </c>
      <c r="V226" s="812">
        <v>67516470</v>
      </c>
      <c r="W226" s="812">
        <v>72160798</v>
      </c>
      <c r="X226" s="812">
        <v>0</v>
      </c>
      <c r="Y226" s="812">
        <v>88612616</v>
      </c>
      <c r="Z226" s="812">
        <v>1240318</v>
      </c>
      <c r="AA226" s="812">
        <v>38200000</v>
      </c>
      <c r="AB226" s="812">
        <v>20661434</v>
      </c>
      <c r="AD226" s="617">
        <f t="shared" si="21"/>
        <v>490580270</v>
      </c>
    </row>
    <row r="227" spans="1:30" x14ac:dyDescent="0.2">
      <c r="A227" s="13" t="s">
        <v>533</v>
      </c>
      <c r="B227" s="13"/>
      <c r="E227" s="557"/>
      <c r="G227" s="195"/>
      <c r="H227" s="812">
        <v>4960133</v>
      </c>
      <c r="I227" s="812">
        <v>37923218</v>
      </c>
      <c r="J227" s="812">
        <v>27702148</v>
      </c>
      <c r="K227" s="812">
        <v>226233</v>
      </c>
      <c r="L227" s="812">
        <v>151814414</v>
      </c>
      <c r="M227" s="812">
        <v>20634383</v>
      </c>
      <c r="N227" s="812">
        <v>14585758</v>
      </c>
      <c r="O227" s="812">
        <v>648041</v>
      </c>
      <c r="P227" s="812">
        <v>4304699</v>
      </c>
      <c r="Q227" s="812">
        <v>12378730</v>
      </c>
      <c r="R227" s="812">
        <v>491987</v>
      </c>
      <c r="S227" s="812">
        <v>55771108</v>
      </c>
      <c r="T227" s="812">
        <v>613912</v>
      </c>
      <c r="U227" s="812">
        <v>326220</v>
      </c>
      <c r="V227" s="812">
        <v>29204486</v>
      </c>
      <c r="W227" s="812">
        <v>37544678</v>
      </c>
      <c r="X227" s="812">
        <v>0</v>
      </c>
      <c r="Y227" s="812">
        <v>51377970</v>
      </c>
      <c r="Z227" s="812">
        <v>6779682</v>
      </c>
      <c r="AA227" s="812">
        <v>43550000</v>
      </c>
      <c r="AB227" s="812">
        <v>75598731</v>
      </c>
      <c r="AD227" s="617">
        <f t="shared" si="21"/>
        <v>576436531</v>
      </c>
    </row>
    <row r="228" spans="1:30" x14ac:dyDescent="0.2">
      <c r="A228" s="23" t="s">
        <v>38</v>
      </c>
      <c r="B228" s="13"/>
      <c r="E228" s="550"/>
      <c r="G228" s="196"/>
      <c r="H228" s="196"/>
      <c r="I228" s="196"/>
      <c r="J228" s="196"/>
      <c r="K228" s="196"/>
      <c r="L228" s="196"/>
      <c r="M228" s="196"/>
      <c r="N228" s="196"/>
      <c r="O228" s="196"/>
      <c r="P228" s="196"/>
      <c r="Q228" s="196"/>
      <c r="R228" s="196"/>
      <c r="S228" s="196"/>
      <c r="T228" s="196"/>
      <c r="U228" s="196"/>
      <c r="V228" s="196"/>
      <c r="W228" s="196"/>
      <c r="X228" s="196"/>
      <c r="Y228" s="196"/>
      <c r="Z228" s="196"/>
      <c r="AA228" s="196"/>
      <c r="AB228" s="196"/>
      <c r="AD228" s="617"/>
    </row>
    <row r="229" spans="1:30" x14ac:dyDescent="0.2">
      <c r="A229" s="554"/>
      <c r="B229" s="13" t="s">
        <v>276</v>
      </c>
      <c r="E229" s="557"/>
      <c r="G229" s="195"/>
      <c r="H229" s="195">
        <v>9812057</v>
      </c>
      <c r="I229" s="195">
        <v>90501773</v>
      </c>
      <c r="J229" s="195">
        <v>58938206</v>
      </c>
      <c r="K229" s="195">
        <v>4884928</v>
      </c>
      <c r="L229" s="195">
        <v>1294748</v>
      </c>
      <c r="M229" s="195">
        <v>8282089</v>
      </c>
      <c r="N229" s="195">
        <v>3008354</v>
      </c>
      <c r="O229" s="195">
        <v>0</v>
      </c>
      <c r="P229" s="195">
        <v>6091304</v>
      </c>
      <c r="Q229" s="1120">
        <f>31279092+9560936</f>
        <v>40840028</v>
      </c>
      <c r="R229" s="195">
        <v>0</v>
      </c>
      <c r="S229" s="195">
        <v>41704699</v>
      </c>
      <c r="T229" s="195">
        <v>0</v>
      </c>
      <c r="U229" s="195">
        <v>781496</v>
      </c>
      <c r="V229" s="195">
        <v>76323472</v>
      </c>
      <c r="W229" s="195">
        <v>34568003</v>
      </c>
      <c r="X229" s="195">
        <v>0</v>
      </c>
      <c r="Y229" s="195">
        <v>35680799</v>
      </c>
      <c r="Z229" s="195">
        <v>4506791</v>
      </c>
      <c r="AA229" s="195">
        <v>133477000</v>
      </c>
      <c r="AB229" s="195">
        <v>18017970</v>
      </c>
      <c r="AD229" s="617">
        <f>SUM(H229:AB229)</f>
        <v>568713717</v>
      </c>
    </row>
    <row r="230" spans="1:30" x14ac:dyDescent="0.2">
      <c r="A230" s="554"/>
      <c r="B230" s="13" t="s">
        <v>277</v>
      </c>
      <c r="E230" s="557"/>
      <c r="G230" s="195"/>
      <c r="H230" s="195">
        <v>331779</v>
      </c>
      <c r="I230" s="195">
        <v>3483223</v>
      </c>
      <c r="J230" s="195">
        <v>3955275</v>
      </c>
      <c r="K230" s="195">
        <v>185091</v>
      </c>
      <c r="L230" s="195">
        <v>2637451</v>
      </c>
      <c r="M230" s="195">
        <v>777197</v>
      </c>
      <c r="N230" s="195">
        <v>696126</v>
      </c>
      <c r="O230" s="195">
        <v>0</v>
      </c>
      <c r="P230" s="195">
        <v>349656</v>
      </c>
      <c r="Q230" s="195">
        <v>4696488</v>
      </c>
      <c r="R230" s="195">
        <v>96376</v>
      </c>
      <c r="S230" s="195">
        <v>1865900</v>
      </c>
      <c r="T230" s="195">
        <v>97279</v>
      </c>
      <c r="U230" s="195">
        <v>80111</v>
      </c>
      <c r="V230" s="195">
        <v>19243540</v>
      </c>
      <c r="W230" s="195">
        <v>9784746</v>
      </c>
      <c r="X230" s="195">
        <v>0</v>
      </c>
      <c r="Y230" s="195">
        <v>13343998</v>
      </c>
      <c r="Z230" s="195">
        <v>668956</v>
      </c>
      <c r="AA230" s="195">
        <v>16920000</v>
      </c>
      <c r="AB230" s="195">
        <v>1255004</v>
      </c>
      <c r="AD230" s="617">
        <f>SUM(H230:AB230)</f>
        <v>80468196</v>
      </c>
    </row>
    <row r="231" spans="1:30" x14ac:dyDescent="0.2">
      <c r="A231" s="554"/>
      <c r="B231" s="13" t="s">
        <v>278</v>
      </c>
      <c r="E231" s="557"/>
      <c r="G231" s="195"/>
      <c r="H231" s="195">
        <v>0</v>
      </c>
      <c r="I231" s="195">
        <v>0</v>
      </c>
      <c r="J231" s="195">
        <v>0</v>
      </c>
      <c r="K231" s="195">
        <v>0</v>
      </c>
      <c r="L231" s="195">
        <v>0</v>
      </c>
      <c r="M231" s="195">
        <v>0</v>
      </c>
      <c r="N231" s="195">
        <v>0</v>
      </c>
      <c r="O231" s="195">
        <v>0</v>
      </c>
      <c r="P231" s="195">
        <v>0</v>
      </c>
      <c r="Q231" s="195">
        <v>0</v>
      </c>
      <c r="R231" s="195">
        <v>0</v>
      </c>
      <c r="S231" s="195">
        <v>0</v>
      </c>
      <c r="T231" s="195">
        <v>0</v>
      </c>
      <c r="U231" s="195">
        <v>0</v>
      </c>
      <c r="V231" s="195">
        <v>0</v>
      </c>
      <c r="W231" s="195">
        <v>0</v>
      </c>
      <c r="X231" s="195">
        <v>0</v>
      </c>
      <c r="Y231" s="195">
        <v>78932</v>
      </c>
      <c r="Z231" s="195">
        <v>0</v>
      </c>
      <c r="AA231" s="195">
        <v>0</v>
      </c>
      <c r="AB231" s="195">
        <v>0</v>
      </c>
      <c r="AD231" s="617">
        <f>SUM(H231:AB231)</f>
        <v>78932</v>
      </c>
    </row>
    <row r="232" spans="1:30" x14ac:dyDescent="0.2">
      <c r="A232" s="554"/>
      <c r="B232" s="13" t="s">
        <v>534</v>
      </c>
      <c r="E232" s="557"/>
      <c r="G232" s="195"/>
      <c r="H232" s="195">
        <v>0</v>
      </c>
      <c r="I232" s="195">
        <v>0</v>
      </c>
      <c r="J232" s="195">
        <v>0</v>
      </c>
      <c r="K232" s="195">
        <v>0</v>
      </c>
      <c r="L232" s="195">
        <v>0</v>
      </c>
      <c r="M232" s="195">
        <v>0</v>
      </c>
      <c r="N232" s="195">
        <v>0</v>
      </c>
      <c r="O232" s="195">
        <v>0</v>
      </c>
      <c r="P232" s="195">
        <v>0</v>
      </c>
      <c r="Q232" s="195">
        <v>0</v>
      </c>
      <c r="R232" s="195">
        <v>0</v>
      </c>
      <c r="S232" s="195">
        <v>0</v>
      </c>
      <c r="T232" s="195">
        <v>0</v>
      </c>
      <c r="U232" s="195">
        <v>0</v>
      </c>
      <c r="V232" s="195">
        <v>0</v>
      </c>
      <c r="W232" s="195">
        <v>0</v>
      </c>
      <c r="X232" s="195">
        <v>0</v>
      </c>
      <c r="Y232" s="195">
        <v>0</v>
      </c>
      <c r="Z232" s="195">
        <v>0</v>
      </c>
      <c r="AA232" s="195">
        <v>0</v>
      </c>
      <c r="AB232" s="195">
        <v>0</v>
      </c>
      <c r="AD232" s="617">
        <f>SUM(H232:AB232)</f>
        <v>0</v>
      </c>
    </row>
    <row r="233" spans="1:30" x14ac:dyDescent="0.2">
      <c r="A233" s="554"/>
      <c r="B233" s="13"/>
      <c r="E233" s="550"/>
      <c r="G233" s="196"/>
      <c r="H233" s="196"/>
      <c r="I233" s="196"/>
      <c r="J233" s="196"/>
      <c r="K233" s="196"/>
      <c r="L233" s="196"/>
      <c r="M233" s="196"/>
      <c r="N233" s="196"/>
      <c r="O233" s="196"/>
      <c r="P233" s="196"/>
      <c r="Q233" s="196"/>
      <c r="R233" s="196"/>
      <c r="S233" s="196"/>
      <c r="T233" s="196"/>
      <c r="U233" s="196"/>
      <c r="V233" s="196"/>
      <c r="W233" s="196"/>
      <c r="X233" s="196"/>
      <c r="Y233" s="196"/>
      <c r="Z233" s="196"/>
      <c r="AA233" s="196"/>
      <c r="AB233" s="196"/>
    </row>
    <row r="234" spans="1:30" x14ac:dyDescent="0.2">
      <c r="A234" s="24" t="s">
        <v>536</v>
      </c>
      <c r="B234" s="13"/>
      <c r="E234" s="559"/>
      <c r="G234" s="195"/>
      <c r="H234" s="812">
        <v>23316</v>
      </c>
      <c r="I234" s="812">
        <v>27934390</v>
      </c>
      <c r="J234" s="812">
        <v>5378102</v>
      </c>
      <c r="K234" s="812">
        <v>0</v>
      </c>
      <c r="L234" s="812">
        <v>0</v>
      </c>
      <c r="M234" s="812">
        <v>0</v>
      </c>
      <c r="N234" s="812">
        <v>0</v>
      </c>
      <c r="O234" s="812">
        <v>0</v>
      </c>
      <c r="P234" s="812">
        <v>0</v>
      </c>
      <c r="Q234" s="812">
        <v>0</v>
      </c>
      <c r="R234" s="812">
        <v>58133</v>
      </c>
      <c r="S234" s="812">
        <v>0</v>
      </c>
      <c r="T234" s="812">
        <v>287900</v>
      </c>
      <c r="U234" s="812">
        <v>0</v>
      </c>
      <c r="V234" s="812">
        <v>0</v>
      </c>
      <c r="W234" s="812">
        <v>20289114</v>
      </c>
      <c r="X234" s="812">
        <v>4791029</v>
      </c>
      <c r="Y234" s="812">
        <v>168415</v>
      </c>
      <c r="Z234" s="812">
        <v>2392300</v>
      </c>
      <c r="AA234" s="812">
        <v>3423000</v>
      </c>
      <c r="AB234" s="812">
        <v>3540667</v>
      </c>
    </row>
    <row r="235" spans="1:30" x14ac:dyDescent="0.2">
      <c r="A235" s="24" t="s">
        <v>537</v>
      </c>
      <c r="B235" s="556"/>
      <c r="E235" s="550"/>
      <c r="G235" s="195"/>
      <c r="H235" s="812">
        <v>766175</v>
      </c>
      <c r="I235" s="812">
        <v>9180741</v>
      </c>
      <c r="J235" s="812">
        <v>852856</v>
      </c>
      <c r="K235" s="812">
        <v>222540</v>
      </c>
      <c r="L235" s="812">
        <v>5318995</v>
      </c>
      <c r="M235" s="812">
        <v>42407</v>
      </c>
      <c r="N235" s="812">
        <v>344006</v>
      </c>
      <c r="O235" s="812">
        <v>0</v>
      </c>
      <c r="P235" s="812">
        <v>236110</v>
      </c>
      <c r="Q235" s="812">
        <v>765514</v>
      </c>
      <c r="R235" s="812">
        <v>79295</v>
      </c>
      <c r="S235" s="812">
        <v>3011250</v>
      </c>
      <c r="T235" s="812">
        <v>0</v>
      </c>
      <c r="U235" s="812">
        <v>0</v>
      </c>
      <c r="V235" s="1123">
        <f>133232632-16068008</f>
        <v>117164624</v>
      </c>
      <c r="W235" s="812">
        <v>28861056</v>
      </c>
      <c r="X235" s="812">
        <v>117595439</v>
      </c>
      <c r="Y235" s="812">
        <v>5076198</v>
      </c>
      <c r="Z235" s="812">
        <v>499033</v>
      </c>
      <c r="AA235" s="812">
        <v>50016000</v>
      </c>
      <c r="AB235" s="1126">
        <f>2539359+1064655</f>
        <v>3604014</v>
      </c>
    </row>
    <row r="236" spans="1:30" x14ac:dyDescent="0.2">
      <c r="A236" s="1117" t="s">
        <v>1716</v>
      </c>
      <c r="B236" s="1117"/>
      <c r="E236" s="550"/>
      <c r="G236" s="195">
        <v>0</v>
      </c>
      <c r="H236" s="195"/>
      <c r="I236" s="195">
        <v>0</v>
      </c>
      <c r="J236" s="195">
        <v>0</v>
      </c>
      <c r="K236" s="195">
        <v>0</v>
      </c>
      <c r="L236" s="195">
        <v>0</v>
      </c>
      <c r="M236" s="195">
        <v>0</v>
      </c>
      <c r="N236" s="195">
        <v>0</v>
      </c>
      <c r="O236" s="195">
        <v>0</v>
      </c>
      <c r="P236" s="195">
        <v>0</v>
      </c>
      <c r="Q236" s="195">
        <v>0</v>
      </c>
      <c r="R236" s="195">
        <v>0</v>
      </c>
      <c r="S236" s="195">
        <v>0</v>
      </c>
      <c r="T236" s="195">
        <v>0</v>
      </c>
      <c r="U236" s="195">
        <v>0</v>
      </c>
      <c r="V236" s="195">
        <v>0</v>
      </c>
      <c r="W236" s="195">
        <v>0</v>
      </c>
      <c r="X236" s="195">
        <v>0</v>
      </c>
      <c r="Y236" s="195">
        <v>0</v>
      </c>
      <c r="Z236" s="195">
        <v>0</v>
      </c>
      <c r="AA236" s="195">
        <v>0</v>
      </c>
      <c r="AB236" s="195">
        <v>0</v>
      </c>
    </row>
    <row r="237" spans="1:30" x14ac:dyDescent="0.2">
      <c r="A237" s="24" t="s">
        <v>538</v>
      </c>
      <c r="B237" s="556"/>
      <c r="E237" s="550"/>
      <c r="G237" s="195"/>
      <c r="H237" s="812">
        <v>169575</v>
      </c>
      <c r="I237" s="812">
        <v>1884616</v>
      </c>
      <c r="J237" s="812">
        <v>0</v>
      </c>
      <c r="K237" s="812">
        <v>0</v>
      </c>
      <c r="L237" s="812">
        <v>2596676</v>
      </c>
      <c r="M237" s="812">
        <v>1671870</v>
      </c>
      <c r="N237" s="812">
        <v>0</v>
      </c>
      <c r="O237" s="812">
        <v>0</v>
      </c>
      <c r="P237" s="1120">
        <f>21405486-18028140</f>
        <v>3377346</v>
      </c>
      <c r="Q237" s="812">
        <v>0</v>
      </c>
      <c r="R237" s="812">
        <v>0</v>
      </c>
      <c r="S237" s="812">
        <v>1841127</v>
      </c>
      <c r="T237" s="812">
        <v>0</v>
      </c>
      <c r="U237" s="812">
        <v>52461</v>
      </c>
      <c r="V237" s="812">
        <v>0</v>
      </c>
      <c r="W237" s="812">
        <v>18562012</v>
      </c>
      <c r="X237" s="812">
        <v>72372266</v>
      </c>
      <c r="Y237" s="812">
        <v>35110585</v>
      </c>
      <c r="Z237" s="812">
        <v>582430</v>
      </c>
      <c r="AA237" s="1126">
        <f>16366000+529000</f>
        <v>16895000</v>
      </c>
      <c r="AB237" s="812">
        <v>5988987</v>
      </c>
    </row>
    <row r="238" spans="1:30" x14ac:dyDescent="0.2">
      <c r="A238" s="13" t="s">
        <v>539</v>
      </c>
      <c r="B238" s="556"/>
      <c r="E238" s="549"/>
      <c r="G238" s="195"/>
      <c r="H238" s="812">
        <v>0</v>
      </c>
      <c r="I238" s="812">
        <v>18946</v>
      </c>
      <c r="J238" s="812">
        <v>0</v>
      </c>
      <c r="K238" s="812">
        <v>0</v>
      </c>
      <c r="L238" s="812">
        <v>0</v>
      </c>
      <c r="M238" s="812">
        <v>0</v>
      </c>
      <c r="N238" s="812">
        <v>0</v>
      </c>
      <c r="O238" s="812">
        <v>0</v>
      </c>
      <c r="P238" s="812">
        <v>0</v>
      </c>
      <c r="Q238" s="812">
        <v>0</v>
      </c>
      <c r="R238" s="812">
        <v>0</v>
      </c>
      <c r="S238" s="812">
        <v>51233</v>
      </c>
      <c r="T238" s="812">
        <v>0</v>
      </c>
      <c r="U238" s="812">
        <v>0</v>
      </c>
      <c r="V238" s="812">
        <v>0</v>
      </c>
      <c r="W238" s="812">
        <v>0</v>
      </c>
      <c r="X238" s="812">
        <v>0</v>
      </c>
      <c r="Y238" s="812">
        <v>322708</v>
      </c>
      <c r="Z238" s="812">
        <v>0</v>
      </c>
      <c r="AA238" s="1126">
        <f>89000+1538000</f>
        <v>1627000</v>
      </c>
      <c r="AB238" s="812">
        <v>0</v>
      </c>
    </row>
    <row r="239" spans="1:30" x14ac:dyDescent="0.2">
      <c r="A239" s="24" t="s">
        <v>1368</v>
      </c>
      <c r="B239" s="556"/>
      <c r="E239" s="559"/>
      <c r="G239" s="195"/>
      <c r="H239" s="812">
        <v>0</v>
      </c>
      <c r="I239" s="812">
        <v>0</v>
      </c>
      <c r="J239" s="812">
        <v>175</v>
      </c>
      <c r="K239" s="812">
        <v>0</v>
      </c>
      <c r="L239" s="812">
        <v>0</v>
      </c>
      <c r="M239" s="812">
        <v>0</v>
      </c>
      <c r="N239" s="812">
        <v>0</v>
      </c>
      <c r="O239" s="812">
        <v>0</v>
      </c>
      <c r="P239" s="812">
        <v>0</v>
      </c>
      <c r="Q239" s="812">
        <v>0</v>
      </c>
      <c r="R239" s="812">
        <v>0</v>
      </c>
      <c r="S239" s="812">
        <v>0</v>
      </c>
      <c r="T239" s="812">
        <v>0</v>
      </c>
      <c r="U239" s="812">
        <v>0</v>
      </c>
      <c r="V239" s="812">
        <v>36756691</v>
      </c>
      <c r="W239" s="812">
        <v>2133</v>
      </c>
      <c r="X239" s="812">
        <v>0</v>
      </c>
      <c r="Y239" s="812">
        <v>0</v>
      </c>
      <c r="Z239" s="812">
        <v>0</v>
      </c>
      <c r="AA239" s="812">
        <v>0</v>
      </c>
      <c r="AB239" s="812">
        <v>551297</v>
      </c>
    </row>
    <row r="240" spans="1:30" x14ac:dyDescent="0.2">
      <c r="A240" s="24"/>
      <c r="B240" s="556"/>
      <c r="E240" s="550"/>
      <c r="G240" s="197"/>
      <c r="H240" s="197"/>
      <c r="I240" s="197"/>
      <c r="J240" s="197"/>
      <c r="K240" s="197"/>
      <c r="L240" s="197"/>
      <c r="M240" s="197"/>
      <c r="N240" s="197"/>
      <c r="O240" s="197"/>
      <c r="P240" s="197"/>
      <c r="Q240" s="197"/>
      <c r="R240" s="197"/>
      <c r="S240" s="197"/>
      <c r="T240" s="197"/>
      <c r="U240" s="197"/>
      <c r="V240" s="197"/>
      <c r="W240" s="197"/>
      <c r="X240" s="197"/>
      <c r="Y240" s="197"/>
      <c r="Z240" s="197"/>
      <c r="AA240" s="197"/>
      <c r="AB240" s="197"/>
    </row>
    <row r="241" spans="1:30" x14ac:dyDescent="0.2">
      <c r="A241" s="24"/>
      <c r="B241" s="556"/>
      <c r="E241" s="550"/>
      <c r="G241" s="27"/>
      <c r="H241" s="27"/>
      <c r="I241" s="27"/>
      <c r="J241" s="27"/>
      <c r="K241" s="27"/>
      <c r="L241" s="27"/>
      <c r="M241" s="27"/>
      <c r="N241" s="27"/>
      <c r="O241" s="27"/>
      <c r="P241" s="27"/>
      <c r="Q241" s="27"/>
      <c r="R241" s="27"/>
      <c r="S241" s="27"/>
      <c r="T241" s="27"/>
      <c r="U241" s="27"/>
      <c r="V241" s="27"/>
      <c r="W241" s="27"/>
      <c r="X241" s="27"/>
      <c r="Y241" s="27"/>
      <c r="Z241" s="27"/>
      <c r="AA241" s="27"/>
      <c r="AB241" s="27"/>
    </row>
    <row r="242" spans="1:30" x14ac:dyDescent="0.2">
      <c r="A242" s="24"/>
      <c r="B242" s="556"/>
      <c r="E242" s="550"/>
      <c r="G242" s="27"/>
      <c r="H242" s="27"/>
      <c r="I242" s="27"/>
      <c r="J242" s="27"/>
      <c r="K242" s="27"/>
      <c r="L242" s="27"/>
      <c r="M242" s="27"/>
      <c r="N242" s="27"/>
      <c r="O242" s="27"/>
      <c r="P242" s="27"/>
      <c r="Q242" s="27"/>
      <c r="R242" s="27"/>
      <c r="S242" s="27"/>
      <c r="T242" s="27"/>
      <c r="U242" s="27"/>
      <c r="V242" s="27"/>
      <c r="W242" s="27"/>
      <c r="X242" s="27"/>
      <c r="Y242" s="27"/>
      <c r="Z242" s="27"/>
      <c r="AA242" s="27"/>
      <c r="AB242" s="27"/>
    </row>
    <row r="243" spans="1:30" x14ac:dyDescent="0.2">
      <c r="A243" s="13" t="s">
        <v>124</v>
      </c>
      <c r="B243" s="556"/>
      <c r="E243" s="550" t="s">
        <v>220</v>
      </c>
      <c r="G243" s="197"/>
      <c r="H243" s="197"/>
      <c r="I243" s="197"/>
      <c r="J243" s="197"/>
      <c r="K243" s="197"/>
      <c r="L243" s="197"/>
      <c r="M243" s="197"/>
      <c r="N243" s="197"/>
      <c r="O243" s="197"/>
      <c r="P243" s="197"/>
      <c r="Q243" s="197"/>
      <c r="R243" s="197"/>
      <c r="S243" s="197"/>
      <c r="T243" s="197"/>
      <c r="U243" s="197"/>
      <c r="V243" s="197"/>
      <c r="W243" s="197"/>
      <c r="X243" s="197"/>
      <c r="Y243" s="197"/>
      <c r="Z243" s="197"/>
      <c r="AA243" s="197"/>
      <c r="AB243" s="197"/>
    </row>
    <row r="244" spans="1:30" x14ac:dyDescent="0.2">
      <c r="A244" s="13" t="s">
        <v>125</v>
      </c>
      <c r="B244" s="556"/>
      <c r="E244" s="550" t="s">
        <v>220</v>
      </c>
      <c r="G244" s="195"/>
      <c r="H244" s="195">
        <v>6535359</v>
      </c>
      <c r="I244" s="195">
        <v>0</v>
      </c>
      <c r="J244" s="195">
        <v>0</v>
      </c>
      <c r="K244" s="195">
        <v>0</v>
      </c>
      <c r="L244" s="195">
        <v>0</v>
      </c>
      <c r="M244" s="195">
        <v>0</v>
      </c>
      <c r="N244" s="195">
        <v>0</v>
      </c>
      <c r="O244" s="195">
        <v>0</v>
      </c>
      <c r="P244" s="195">
        <v>0</v>
      </c>
      <c r="Q244" s="195">
        <v>0</v>
      </c>
      <c r="R244" s="195">
        <v>0</v>
      </c>
      <c r="S244" s="195">
        <v>0</v>
      </c>
      <c r="T244" s="195">
        <v>0</v>
      </c>
      <c r="U244" s="195">
        <v>0</v>
      </c>
      <c r="V244" s="195">
        <v>140435960</v>
      </c>
      <c r="W244" s="195">
        <v>0</v>
      </c>
      <c r="X244" s="195">
        <v>0</v>
      </c>
      <c r="Y244" s="195">
        <v>0</v>
      </c>
      <c r="Z244" s="195">
        <v>0</v>
      </c>
      <c r="AA244" s="195">
        <v>115616000</v>
      </c>
      <c r="AB244" s="195">
        <v>0</v>
      </c>
    </row>
    <row r="245" spans="1:30" x14ac:dyDescent="0.2">
      <c r="A245" s="13" t="s">
        <v>126</v>
      </c>
      <c r="B245" s="556"/>
      <c r="E245" s="550" t="s">
        <v>220</v>
      </c>
      <c r="G245" s="197"/>
      <c r="H245" s="197"/>
      <c r="I245" s="197"/>
      <c r="J245" s="197"/>
      <c r="K245" s="197"/>
      <c r="L245" s="197"/>
      <c r="M245" s="197"/>
      <c r="N245" s="197"/>
      <c r="O245" s="197"/>
      <c r="P245" s="197"/>
      <c r="Q245" s="197"/>
      <c r="R245" s="197"/>
      <c r="S245" s="197"/>
      <c r="T245" s="197"/>
      <c r="U245" s="197"/>
      <c r="V245" s="197"/>
      <c r="W245" s="197"/>
      <c r="X245" s="197"/>
      <c r="Y245" s="197"/>
      <c r="Z245" s="197"/>
      <c r="AA245" s="197"/>
      <c r="AB245" s="197"/>
    </row>
    <row r="246" spans="1:30" x14ac:dyDescent="0.2">
      <c r="A246" s="13" t="s">
        <v>519</v>
      </c>
      <c r="B246" s="556"/>
      <c r="E246" s="550" t="s">
        <v>220</v>
      </c>
      <c r="G246" s="195"/>
      <c r="H246" s="195">
        <v>-10028738</v>
      </c>
      <c r="I246" s="195">
        <v>0</v>
      </c>
      <c r="J246" s="195">
        <v>0</v>
      </c>
      <c r="K246" s="195">
        <v>0</v>
      </c>
      <c r="L246" s="195">
        <v>0</v>
      </c>
      <c r="M246" s="195">
        <v>0</v>
      </c>
      <c r="N246" s="195">
        <v>0</v>
      </c>
      <c r="O246" s="195">
        <v>0</v>
      </c>
      <c r="P246" s="195">
        <v>0</v>
      </c>
      <c r="Q246" s="195">
        <v>0</v>
      </c>
      <c r="R246" s="195">
        <v>0</v>
      </c>
      <c r="S246" s="195">
        <v>0</v>
      </c>
      <c r="T246" s="195">
        <v>0</v>
      </c>
      <c r="U246" s="195">
        <v>0</v>
      </c>
      <c r="V246" s="195">
        <v>-79584976</v>
      </c>
      <c r="W246" s="195">
        <v>0</v>
      </c>
      <c r="X246" s="195">
        <v>0</v>
      </c>
      <c r="Y246" s="195">
        <v>0</v>
      </c>
      <c r="Z246" s="195">
        <v>0</v>
      </c>
      <c r="AA246" s="195">
        <v>-27475000</v>
      </c>
      <c r="AB246" s="195">
        <v>0</v>
      </c>
    </row>
    <row r="247" spans="1:30" x14ac:dyDescent="0.2">
      <c r="A247" s="13"/>
      <c r="B247" s="556"/>
      <c r="E247" s="550"/>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row>
    <row r="248" spans="1:30" x14ac:dyDescent="0.2">
      <c r="A248" s="13" t="s">
        <v>67</v>
      </c>
      <c r="B248" s="556"/>
      <c r="E248" s="549"/>
      <c r="G248" s="196"/>
      <c r="H248" s="196"/>
      <c r="I248" s="196"/>
      <c r="J248" s="196"/>
      <c r="K248" s="196"/>
      <c r="L248" s="196"/>
      <c r="M248" s="196"/>
      <c r="N248" s="196"/>
      <c r="O248" s="196"/>
      <c r="P248" s="196"/>
      <c r="Q248" s="196"/>
      <c r="R248" s="196"/>
      <c r="S248" s="196"/>
      <c r="T248" s="196"/>
      <c r="U248" s="196"/>
      <c r="V248" s="196"/>
      <c r="W248" s="196"/>
      <c r="X248" s="196"/>
      <c r="Y248" s="196"/>
      <c r="Z248" s="196"/>
      <c r="AA248" s="196"/>
      <c r="AB248" s="196"/>
    </row>
    <row r="249" spans="1:30" x14ac:dyDescent="0.2">
      <c r="A249" s="13" t="s">
        <v>743</v>
      </c>
      <c r="B249" s="556"/>
      <c r="E249" s="549"/>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row>
    <row r="250" spans="1:30" x14ac:dyDescent="0.2">
      <c r="A250" s="13"/>
      <c r="B250" s="556"/>
      <c r="E250" s="550"/>
      <c r="G250" s="196"/>
      <c r="H250" s="196"/>
      <c r="I250" s="196"/>
      <c r="J250" s="196"/>
      <c r="K250" s="196"/>
      <c r="L250" s="196"/>
      <c r="M250" s="196"/>
      <c r="N250" s="196"/>
      <c r="O250" s="196"/>
      <c r="P250" s="196"/>
      <c r="Q250" s="196"/>
      <c r="R250" s="196"/>
      <c r="S250" s="196"/>
      <c r="T250" s="196"/>
      <c r="U250" s="196"/>
      <c r="V250" s="196"/>
      <c r="W250" s="196"/>
      <c r="X250" s="196"/>
      <c r="Y250" s="196"/>
      <c r="Z250" s="196"/>
      <c r="AA250" s="196"/>
      <c r="AB250" s="196"/>
    </row>
    <row r="251" spans="1:30" x14ac:dyDescent="0.2">
      <c r="A251" s="24" t="s">
        <v>460</v>
      </c>
      <c r="B251" s="556"/>
      <c r="E251" s="564"/>
      <c r="G251" s="195"/>
      <c r="H251" s="812">
        <v>0</v>
      </c>
      <c r="I251" s="812">
        <v>0</v>
      </c>
      <c r="J251" s="1120">
        <f>-17973171+17973171</f>
        <v>0</v>
      </c>
      <c r="K251" s="812">
        <v>0</v>
      </c>
      <c r="L251" s="812">
        <v>0</v>
      </c>
      <c r="M251" s="812">
        <v>0</v>
      </c>
      <c r="N251" s="812">
        <v>0</v>
      </c>
      <c r="O251" s="812">
        <v>0</v>
      </c>
      <c r="P251" s="812">
        <v>0</v>
      </c>
      <c r="Q251" s="812">
        <v>0</v>
      </c>
      <c r="R251" s="812">
        <v>0</v>
      </c>
      <c r="S251" s="812">
        <v>0</v>
      </c>
      <c r="T251" s="812">
        <v>0</v>
      </c>
      <c r="U251" s="812">
        <v>0</v>
      </c>
      <c r="V251" s="812">
        <v>0</v>
      </c>
      <c r="W251" s="812">
        <v>0</v>
      </c>
      <c r="X251" s="812">
        <v>0</v>
      </c>
      <c r="Y251" s="812">
        <v>0</v>
      </c>
      <c r="Z251" s="812">
        <v>0</v>
      </c>
      <c r="AA251" s="812">
        <v>0</v>
      </c>
      <c r="AB251" s="812">
        <v>0</v>
      </c>
    </row>
    <row r="252" spans="1:30" x14ac:dyDescent="0.2">
      <c r="A252" s="24" t="s">
        <v>459</v>
      </c>
      <c r="B252" s="556"/>
      <c r="E252" s="564"/>
      <c r="G252" s="485"/>
      <c r="H252" s="859">
        <v>0</v>
      </c>
      <c r="I252" s="859">
        <v>0</v>
      </c>
      <c r="J252" s="859">
        <v>0</v>
      </c>
      <c r="K252" s="859">
        <v>0</v>
      </c>
      <c r="L252" s="859">
        <v>0</v>
      </c>
      <c r="M252" s="859">
        <v>0</v>
      </c>
      <c r="N252" s="859">
        <v>0</v>
      </c>
      <c r="O252" s="859">
        <v>0</v>
      </c>
      <c r="P252" s="859">
        <v>0</v>
      </c>
      <c r="Q252" s="859">
        <v>0</v>
      </c>
      <c r="R252" s="859">
        <v>0</v>
      </c>
      <c r="S252" s="859">
        <v>0</v>
      </c>
      <c r="T252" s="859">
        <v>0</v>
      </c>
      <c r="U252" s="859">
        <v>0</v>
      </c>
      <c r="V252" s="859">
        <v>0</v>
      </c>
      <c r="W252" s="859">
        <v>0</v>
      </c>
      <c r="X252" s="859">
        <v>0</v>
      </c>
      <c r="Y252" s="859">
        <v>0</v>
      </c>
      <c r="Z252" s="859">
        <v>0</v>
      </c>
      <c r="AA252" s="859">
        <v>0</v>
      </c>
      <c r="AB252" s="859">
        <v>0</v>
      </c>
    </row>
    <row r="253" spans="1:30" x14ac:dyDescent="0.2">
      <c r="A253" s="13" t="s">
        <v>632</v>
      </c>
      <c r="B253" s="13"/>
      <c r="E253" s="550"/>
      <c r="G253" s="26">
        <f>SUM(G221:G252)</f>
        <v>0</v>
      </c>
      <c r="H253" s="26">
        <f t="shared" ref="H253:AB253" si="22">SUM(H221:H252)</f>
        <v>66405792</v>
      </c>
      <c r="I253" s="26">
        <f t="shared" si="22"/>
        <v>289142640</v>
      </c>
      <c r="J253" s="26">
        <f t="shared" si="22"/>
        <v>363373349</v>
      </c>
      <c r="K253" s="26">
        <f t="shared" si="22"/>
        <v>12844695</v>
      </c>
      <c r="L253" s="26">
        <f t="shared" si="22"/>
        <v>317176538</v>
      </c>
      <c r="M253" s="26">
        <f t="shared" si="22"/>
        <v>79863289</v>
      </c>
      <c r="N253" s="26">
        <f t="shared" si="22"/>
        <v>68949390</v>
      </c>
      <c r="O253" s="26">
        <f t="shared" si="22"/>
        <v>4672377</v>
      </c>
      <c r="P253" s="26">
        <f t="shared" si="22"/>
        <v>116889848</v>
      </c>
      <c r="Q253" s="26">
        <f t="shared" si="22"/>
        <v>300499154</v>
      </c>
      <c r="R253" s="26">
        <f t="shared" si="22"/>
        <v>2796836</v>
      </c>
      <c r="S253" s="26">
        <f t="shared" si="22"/>
        <v>207979681</v>
      </c>
      <c r="T253" s="26">
        <f t="shared" si="22"/>
        <v>6344310</v>
      </c>
      <c r="U253" s="26">
        <f t="shared" si="22"/>
        <v>5372546</v>
      </c>
      <c r="V253" s="26">
        <f t="shared" si="22"/>
        <v>608941774</v>
      </c>
      <c r="W253" s="26">
        <f t="shared" si="22"/>
        <v>474229041</v>
      </c>
      <c r="X253" s="26">
        <f t="shared" si="22"/>
        <v>194758734</v>
      </c>
      <c r="Y253" s="26">
        <f t="shared" si="22"/>
        <v>776793708</v>
      </c>
      <c r="Z253" s="26">
        <f t="shared" si="22"/>
        <v>39653706</v>
      </c>
      <c r="AA253" s="26">
        <f t="shared" si="22"/>
        <v>713276000</v>
      </c>
      <c r="AB253" s="26">
        <f t="shared" si="22"/>
        <v>197950746</v>
      </c>
    </row>
    <row r="254" spans="1:30" x14ac:dyDescent="0.2">
      <c r="A254" s="24" t="s">
        <v>863</v>
      </c>
      <c r="B254" s="13"/>
      <c r="E254" s="550"/>
      <c r="G254" s="26">
        <f>SUM(G216,G253)</f>
        <v>0</v>
      </c>
      <c r="H254" s="26">
        <f t="shared" ref="H254:AB254" si="23">SUM(H216,H253)</f>
        <v>5168348</v>
      </c>
      <c r="I254" s="26">
        <f t="shared" si="23"/>
        <v>163475191</v>
      </c>
      <c r="J254" s="26">
        <f t="shared" si="23"/>
        <v>65665161</v>
      </c>
      <c r="K254" s="26">
        <f t="shared" si="23"/>
        <v>17810547</v>
      </c>
      <c r="L254" s="26">
        <f t="shared" si="23"/>
        <v>194452119</v>
      </c>
      <c r="M254" s="26">
        <f t="shared" si="23"/>
        <v>22774964</v>
      </c>
      <c r="N254" s="26">
        <f t="shared" si="23"/>
        <v>17388568</v>
      </c>
      <c r="O254" s="26">
        <f t="shared" si="23"/>
        <v>1817788</v>
      </c>
      <c r="P254" s="26">
        <f t="shared" si="23"/>
        <v>24306105</v>
      </c>
      <c r="Q254" s="26">
        <f t="shared" si="23"/>
        <v>53062956</v>
      </c>
      <c r="R254" s="26">
        <f t="shared" si="23"/>
        <v>-1103090</v>
      </c>
      <c r="S254" s="26">
        <f t="shared" si="23"/>
        <v>99736337</v>
      </c>
      <c r="T254" s="26">
        <f t="shared" si="23"/>
        <v>1076100</v>
      </c>
      <c r="U254" s="26">
        <f t="shared" si="23"/>
        <v>1714134</v>
      </c>
      <c r="V254" s="26">
        <f t="shared" si="23"/>
        <v>192543719</v>
      </c>
      <c r="W254" s="26">
        <f t="shared" si="23"/>
        <v>99568702</v>
      </c>
      <c r="X254" s="26">
        <f t="shared" si="23"/>
        <v>84162969</v>
      </c>
      <c r="Y254" s="26">
        <f t="shared" si="23"/>
        <v>202885949</v>
      </c>
      <c r="Z254" s="26">
        <f t="shared" si="23"/>
        <v>6085127</v>
      </c>
      <c r="AA254" s="26">
        <f t="shared" si="23"/>
        <v>376583000</v>
      </c>
      <c r="AB254" s="26">
        <f t="shared" si="23"/>
        <v>111513144</v>
      </c>
    </row>
    <row r="255" spans="1:30" x14ac:dyDescent="0.2">
      <c r="A255" s="24" t="s">
        <v>858</v>
      </c>
      <c r="B255" s="554"/>
      <c r="E255" s="550"/>
      <c r="G255" s="812"/>
      <c r="H255" s="812">
        <v>398953282</v>
      </c>
      <c r="I255" s="812">
        <v>833509399</v>
      </c>
      <c r="J255" s="812">
        <v>1158356452</v>
      </c>
      <c r="K255" s="812">
        <v>52097953</v>
      </c>
      <c r="L255" s="812">
        <v>928287689</v>
      </c>
      <c r="M255" s="812">
        <v>179964189</v>
      </c>
      <c r="N255" s="812">
        <v>180192308</v>
      </c>
      <c r="O255" s="812">
        <v>7915972</v>
      </c>
      <c r="P255" s="1120">
        <f>187360656-12465998</f>
        <v>174894658</v>
      </c>
      <c r="Q255" s="812">
        <v>589970422</v>
      </c>
      <c r="R255" s="812">
        <v>30893051</v>
      </c>
      <c r="S255" s="812">
        <v>367436992</v>
      </c>
      <c r="T255" s="812">
        <v>-2276212</v>
      </c>
      <c r="U255" s="812">
        <v>16177493</v>
      </c>
      <c r="V255" s="1123">
        <f>12350313462+3625757+33649666</f>
        <v>12387588885</v>
      </c>
      <c r="W255" s="812">
        <v>1096135882</v>
      </c>
      <c r="X255" s="812">
        <v>2895264661</v>
      </c>
      <c r="Y255" s="812">
        <v>1057511336</v>
      </c>
      <c r="Z255" s="812">
        <v>440891404</v>
      </c>
      <c r="AA255" s="1126">
        <f>2125364000-36000</f>
        <v>2125328000</v>
      </c>
      <c r="AB255" s="812">
        <v>290246767</v>
      </c>
      <c r="AD255" s="546" t="s">
        <v>944</v>
      </c>
    </row>
    <row r="256" spans="1:30" ht="13.5" thickBot="1" x14ac:dyDescent="0.25">
      <c r="A256" s="24" t="s">
        <v>859</v>
      </c>
      <c r="B256" s="554"/>
      <c r="E256" s="550"/>
      <c r="G256" s="28">
        <f>IF(SUM(G254:G255)=G198,SUM(G254,G255),"ERROR")</f>
        <v>0</v>
      </c>
      <c r="H256" s="28">
        <f t="shared" ref="H256:AB256" si="24">IF(SUM(H254:H255)=H198,SUM(H254,H255),"ERROR")</f>
        <v>404121630</v>
      </c>
      <c r="I256" s="28">
        <f t="shared" si="24"/>
        <v>996984590</v>
      </c>
      <c r="J256" s="28">
        <f t="shared" si="24"/>
        <v>1224021613</v>
      </c>
      <c r="K256" s="28">
        <f t="shared" si="24"/>
        <v>69908500</v>
      </c>
      <c r="L256" s="28">
        <f t="shared" si="24"/>
        <v>1122739808</v>
      </c>
      <c r="M256" s="28">
        <f t="shared" si="24"/>
        <v>202739153</v>
      </c>
      <c r="N256" s="28">
        <f t="shared" si="24"/>
        <v>197580876</v>
      </c>
      <c r="O256" s="28">
        <f t="shared" si="24"/>
        <v>9733760</v>
      </c>
      <c r="P256" s="28">
        <f t="shared" si="24"/>
        <v>199200763</v>
      </c>
      <c r="Q256" s="28">
        <f t="shared" si="24"/>
        <v>643033378</v>
      </c>
      <c r="R256" s="28">
        <f t="shared" si="24"/>
        <v>29789961</v>
      </c>
      <c r="S256" s="28">
        <f t="shared" si="24"/>
        <v>467173329</v>
      </c>
      <c r="T256" s="28">
        <f t="shared" si="24"/>
        <v>-1200112</v>
      </c>
      <c r="U256" s="28">
        <f t="shared" si="24"/>
        <v>17891627</v>
      </c>
      <c r="V256" s="28">
        <f t="shared" si="24"/>
        <v>12580132604</v>
      </c>
      <c r="W256" s="28">
        <f t="shared" si="24"/>
        <v>1195704584</v>
      </c>
      <c r="X256" s="28">
        <f t="shared" si="24"/>
        <v>2979427630</v>
      </c>
      <c r="Y256" s="28">
        <f t="shared" si="24"/>
        <v>1260397285</v>
      </c>
      <c r="Z256" s="28">
        <f t="shared" si="24"/>
        <v>446976531</v>
      </c>
      <c r="AA256" s="28">
        <f t="shared" si="24"/>
        <v>2501911000</v>
      </c>
      <c r="AB256" s="28">
        <f t="shared" si="24"/>
        <v>401759911</v>
      </c>
      <c r="AD256" s="617">
        <f>SUM(H256:AB256)</f>
        <v>26950028421</v>
      </c>
    </row>
    <row r="257" spans="1:30" ht="13.5" thickTop="1" x14ac:dyDescent="0.2">
      <c r="E257" s="550"/>
      <c r="H257" s="3"/>
      <c r="I257" s="3"/>
      <c r="J257" s="3"/>
      <c r="K257" s="3"/>
      <c r="L257" s="3"/>
      <c r="M257" s="3"/>
      <c r="N257" s="3"/>
      <c r="O257" s="3"/>
      <c r="P257" s="3"/>
      <c r="Q257" s="3"/>
      <c r="R257" s="3"/>
      <c r="S257" s="3"/>
      <c r="T257" s="3"/>
      <c r="U257" s="3"/>
      <c r="V257" s="3"/>
      <c r="W257" s="3"/>
      <c r="X257" s="3"/>
      <c r="Y257" s="3"/>
      <c r="Z257" s="3"/>
      <c r="AA257" s="3"/>
      <c r="AB257" s="3"/>
    </row>
    <row r="258" spans="1:30" x14ac:dyDescent="0.2">
      <c r="E258" s="409" t="s">
        <v>860</v>
      </c>
      <c r="G258" s="411">
        <f>SUM(G254:G255)</f>
        <v>0</v>
      </c>
      <c r="H258" s="411">
        <f t="shared" ref="H258:AB258" si="25">SUM(H254:H255)</f>
        <v>404121630</v>
      </c>
      <c r="I258" s="411">
        <f t="shared" si="25"/>
        <v>996984590</v>
      </c>
      <c r="J258" s="411">
        <f t="shared" si="25"/>
        <v>1224021613</v>
      </c>
      <c r="K258" s="411">
        <f t="shared" si="25"/>
        <v>69908500</v>
      </c>
      <c r="L258" s="411">
        <f t="shared" si="25"/>
        <v>1122739808</v>
      </c>
      <c r="M258" s="411">
        <f t="shared" si="25"/>
        <v>202739153</v>
      </c>
      <c r="N258" s="411">
        <f t="shared" si="25"/>
        <v>197580876</v>
      </c>
      <c r="O258" s="411">
        <f t="shared" si="25"/>
        <v>9733760</v>
      </c>
      <c r="P258" s="411">
        <f t="shared" si="25"/>
        <v>199200763</v>
      </c>
      <c r="Q258" s="411">
        <f>SUM(Q254:Q255)</f>
        <v>643033378</v>
      </c>
      <c r="R258" s="411">
        <f t="shared" si="25"/>
        <v>29789961</v>
      </c>
      <c r="S258" s="411">
        <f t="shared" si="25"/>
        <v>467173329</v>
      </c>
      <c r="T258" s="411">
        <f t="shared" si="25"/>
        <v>-1200112</v>
      </c>
      <c r="U258" s="411">
        <f t="shared" si="25"/>
        <v>17891627</v>
      </c>
      <c r="V258" s="411">
        <f t="shared" si="25"/>
        <v>12580132604</v>
      </c>
      <c r="W258" s="411">
        <f t="shared" si="25"/>
        <v>1195704584</v>
      </c>
      <c r="X258" s="411">
        <f t="shared" si="25"/>
        <v>2979427630</v>
      </c>
      <c r="Y258" s="411">
        <f t="shared" si="25"/>
        <v>1260397285</v>
      </c>
      <c r="Z258" s="411">
        <f t="shared" si="25"/>
        <v>446976531</v>
      </c>
      <c r="AA258" s="411">
        <f t="shared" si="25"/>
        <v>2501911000</v>
      </c>
      <c r="AB258" s="411">
        <f t="shared" si="25"/>
        <v>401759911</v>
      </c>
    </row>
    <row r="259" spans="1:30" x14ac:dyDescent="0.2">
      <c r="E259" s="409" t="s">
        <v>549</v>
      </c>
      <c r="G259" s="411">
        <f>G201-G258</f>
        <v>0</v>
      </c>
      <c r="H259" s="411">
        <f t="shared" ref="H259:AB259" si="26">H201-H258</f>
        <v>0</v>
      </c>
      <c r="I259" s="411">
        <f t="shared" si="26"/>
        <v>0</v>
      </c>
      <c r="J259" s="411">
        <f t="shared" si="26"/>
        <v>0</v>
      </c>
      <c r="K259" s="411">
        <f t="shared" si="26"/>
        <v>0</v>
      </c>
      <c r="L259" s="411">
        <f t="shared" si="26"/>
        <v>0</v>
      </c>
      <c r="M259" s="411">
        <f t="shared" si="26"/>
        <v>0</v>
      </c>
      <c r="N259" s="411">
        <f t="shared" si="26"/>
        <v>0</v>
      </c>
      <c r="O259" s="411">
        <f t="shared" si="26"/>
        <v>0</v>
      </c>
      <c r="P259" s="411">
        <f t="shared" si="26"/>
        <v>0</v>
      </c>
      <c r="Q259" s="411">
        <f>Q201-Q258</f>
        <v>0</v>
      </c>
      <c r="R259" s="411">
        <f t="shared" si="26"/>
        <v>0</v>
      </c>
      <c r="S259" s="411">
        <f t="shared" si="26"/>
        <v>0</v>
      </c>
      <c r="T259" s="411">
        <f t="shared" si="26"/>
        <v>0</v>
      </c>
      <c r="U259" s="411">
        <f t="shared" si="26"/>
        <v>0</v>
      </c>
      <c r="V259" s="411">
        <f t="shared" si="26"/>
        <v>0</v>
      </c>
      <c r="W259" s="411">
        <f t="shared" si="26"/>
        <v>0</v>
      </c>
      <c r="X259" s="411">
        <f t="shared" si="26"/>
        <v>0</v>
      </c>
      <c r="Y259" s="411">
        <f t="shared" si="26"/>
        <v>0</v>
      </c>
      <c r="Z259" s="411">
        <f t="shared" si="26"/>
        <v>0</v>
      </c>
      <c r="AA259" s="411">
        <f t="shared" si="26"/>
        <v>0</v>
      </c>
      <c r="AB259" s="411">
        <f t="shared" si="26"/>
        <v>0</v>
      </c>
    </row>
    <row r="260" spans="1:30" x14ac:dyDescent="0.2">
      <c r="E260" s="546"/>
      <c r="H260" s="3"/>
      <c r="I260" s="3"/>
      <c r="J260" s="3"/>
      <c r="K260" s="3"/>
      <c r="L260" s="3"/>
      <c r="M260" s="3"/>
      <c r="N260" s="3"/>
      <c r="O260" s="3"/>
      <c r="P260" s="3"/>
      <c r="Q260" s="3"/>
      <c r="R260" s="3"/>
      <c r="S260" s="3"/>
      <c r="T260" s="3"/>
      <c r="U260" s="3"/>
      <c r="V260" s="3"/>
      <c r="W260" s="3"/>
      <c r="X260" s="3"/>
      <c r="Y260" s="3"/>
      <c r="Z260" s="3"/>
      <c r="AA260" s="3"/>
      <c r="AB260" s="3"/>
    </row>
    <row r="261" spans="1:30" ht="45" customHeight="1" x14ac:dyDescent="0.2">
      <c r="A261" s="1156" t="s">
        <v>862</v>
      </c>
      <c r="B261" s="1157"/>
      <c r="C261" s="1157"/>
      <c r="D261" s="1157"/>
      <c r="E261" s="1158"/>
      <c r="H261" s="3"/>
      <c r="I261" s="3"/>
      <c r="J261" s="3"/>
      <c r="K261" s="3"/>
      <c r="L261" s="3"/>
      <c r="M261" s="3"/>
      <c r="N261" s="3"/>
      <c r="O261" s="3"/>
      <c r="P261" s="3"/>
      <c r="Q261" s="3"/>
      <c r="R261" s="3"/>
      <c r="S261" s="3"/>
      <c r="T261" s="3"/>
      <c r="U261" s="3"/>
      <c r="V261" s="3"/>
      <c r="W261" s="3"/>
      <c r="X261" s="3"/>
      <c r="Y261" s="3"/>
      <c r="Z261" s="3"/>
      <c r="AA261" s="3"/>
      <c r="AB261" s="3"/>
    </row>
    <row r="262" spans="1:30" x14ac:dyDescent="0.2">
      <c r="A262" s="551"/>
      <c r="B262" s="551"/>
      <c r="C262" s="551"/>
      <c r="D262" s="551"/>
      <c r="E262" s="565"/>
      <c r="F262" s="552"/>
      <c r="G262" s="412"/>
      <c r="H262" s="412"/>
      <c r="I262" s="412"/>
      <c r="J262" s="412"/>
      <c r="K262" s="412"/>
      <c r="L262" s="412"/>
      <c r="M262" s="412"/>
      <c r="N262" s="412"/>
      <c r="O262" s="412"/>
      <c r="P262" s="412"/>
      <c r="Q262" s="412"/>
      <c r="R262" s="412"/>
      <c r="S262" s="412"/>
      <c r="T262" s="412"/>
      <c r="U262" s="412"/>
      <c r="V262" s="412"/>
      <c r="W262" s="412"/>
      <c r="X262" s="412"/>
      <c r="Y262" s="412"/>
      <c r="Z262" s="412"/>
      <c r="AA262" s="412"/>
      <c r="AB262" s="412"/>
    </row>
    <row r="263" spans="1:30" x14ac:dyDescent="0.2">
      <c r="E263" s="549" t="s">
        <v>217</v>
      </c>
      <c r="H263" s="3"/>
      <c r="I263" s="3"/>
      <c r="J263" s="3"/>
      <c r="K263" s="3"/>
      <c r="L263" s="3"/>
      <c r="M263" s="3"/>
      <c r="N263" s="3"/>
      <c r="O263" s="3"/>
      <c r="P263" s="3"/>
      <c r="Q263" s="3"/>
      <c r="R263" s="3"/>
      <c r="S263" s="3"/>
      <c r="T263" s="3"/>
      <c r="U263" s="3"/>
      <c r="V263" s="3"/>
      <c r="W263" s="3"/>
      <c r="X263" s="3"/>
      <c r="Y263" s="3"/>
      <c r="Z263" s="3"/>
      <c r="AA263" s="3"/>
      <c r="AB263" s="3"/>
      <c r="AD263" s="570" t="s">
        <v>750</v>
      </c>
    </row>
    <row r="264" spans="1:30" x14ac:dyDescent="0.2">
      <c r="E264" s="713" t="s">
        <v>1589</v>
      </c>
      <c r="G264" s="400">
        <f>SUM(G75,G89)</f>
        <v>0</v>
      </c>
      <c r="H264" s="400">
        <f t="shared" ref="H264:AB264" si="27">SUM(H75,H89)</f>
        <v>611926813</v>
      </c>
      <c r="I264" s="400">
        <f t="shared" si="27"/>
        <v>1139980019</v>
      </c>
      <c r="J264" s="400">
        <f t="shared" si="27"/>
        <v>1349862280</v>
      </c>
      <c r="K264" s="400">
        <f t="shared" si="27"/>
        <v>53818457</v>
      </c>
      <c r="L264" s="400">
        <f t="shared" si="27"/>
        <v>1368853647</v>
      </c>
      <c r="M264" s="400">
        <f t="shared" si="27"/>
        <v>288538501</v>
      </c>
      <c r="N264" s="400">
        <f t="shared" si="27"/>
        <v>452386794</v>
      </c>
      <c r="O264" s="400">
        <f t="shared" si="27"/>
        <v>8536097</v>
      </c>
      <c r="P264" s="400">
        <f t="shared" si="27"/>
        <v>280576999</v>
      </c>
      <c r="Q264" s="400">
        <f t="shared" si="27"/>
        <v>904830939</v>
      </c>
      <c r="R264" s="400">
        <f t="shared" si="27"/>
        <v>26761593</v>
      </c>
      <c r="S264" s="400">
        <f t="shared" si="27"/>
        <v>440827610</v>
      </c>
      <c r="T264" s="400">
        <f t="shared" si="27"/>
        <v>1254249</v>
      </c>
      <c r="U264" s="400">
        <f t="shared" si="27"/>
        <v>14690512</v>
      </c>
      <c r="V264" s="400">
        <f t="shared" si="27"/>
        <v>5141259964</v>
      </c>
      <c r="W264" s="400">
        <f t="shared" si="27"/>
        <v>1395065398</v>
      </c>
      <c r="X264" s="400">
        <f t="shared" si="27"/>
        <v>1814802170</v>
      </c>
      <c r="Y264" s="400">
        <f t="shared" si="27"/>
        <v>1395594938</v>
      </c>
      <c r="Z264" s="400">
        <f t="shared" si="27"/>
        <v>435058916</v>
      </c>
      <c r="AA264" s="400">
        <f t="shared" si="27"/>
        <v>2636577000</v>
      </c>
      <c r="AB264" s="400">
        <f t="shared" si="27"/>
        <v>309170263</v>
      </c>
      <c r="AD264" s="617">
        <f>SUM(H264:AB264)</f>
        <v>20070373159</v>
      </c>
    </row>
    <row r="265" spans="1:30" x14ac:dyDescent="0.2">
      <c r="E265" s="550"/>
      <c r="H265" s="3"/>
      <c r="I265" s="3"/>
      <c r="J265" s="3"/>
      <c r="K265" s="3"/>
      <c r="L265" s="3"/>
      <c r="M265" s="3"/>
      <c r="N265" s="3"/>
      <c r="O265" s="3"/>
      <c r="P265" s="3"/>
      <c r="Q265" s="3"/>
      <c r="R265" s="3"/>
      <c r="S265" s="3"/>
      <c r="T265" s="3"/>
      <c r="U265" s="3"/>
      <c r="V265" s="3"/>
      <c r="W265" s="3"/>
      <c r="X265" s="3"/>
      <c r="Y265" s="3"/>
      <c r="Z265" s="3"/>
      <c r="AA265" s="3"/>
      <c r="AB265" s="3"/>
    </row>
    <row r="266" spans="1:30" x14ac:dyDescent="0.2">
      <c r="E266" s="557" t="s">
        <v>133</v>
      </c>
      <c r="G266" s="400">
        <f>SUM(G20:G22,G26:G27)</f>
        <v>0</v>
      </c>
      <c r="H266" s="400">
        <f t="shared" ref="H266:AB266" si="28">SUM(H20:H22,H26:H27)</f>
        <v>5025206</v>
      </c>
      <c r="I266" s="400">
        <f t="shared" si="28"/>
        <v>35996224</v>
      </c>
      <c r="J266" s="400">
        <f t="shared" si="28"/>
        <v>17870108</v>
      </c>
      <c r="K266" s="400">
        <f t="shared" si="28"/>
        <v>0</v>
      </c>
      <c r="L266" s="400">
        <f t="shared" si="28"/>
        <v>148563575</v>
      </c>
      <c r="M266" s="400">
        <f t="shared" si="28"/>
        <v>17178282</v>
      </c>
      <c r="N266" s="400">
        <f t="shared" si="28"/>
        <v>18008574</v>
      </c>
      <c r="O266" s="400">
        <f t="shared" si="28"/>
        <v>2065703</v>
      </c>
      <c r="P266" s="400">
        <f t="shared" si="28"/>
        <v>19763475</v>
      </c>
      <c r="Q266" s="400">
        <f t="shared" si="28"/>
        <v>25923819</v>
      </c>
      <c r="R266" s="400">
        <f t="shared" si="28"/>
        <v>32948</v>
      </c>
      <c r="S266" s="400">
        <f t="shared" si="28"/>
        <v>56504812</v>
      </c>
      <c r="T266" s="400">
        <f t="shared" si="28"/>
        <v>477097</v>
      </c>
      <c r="U266" s="400">
        <f t="shared" si="28"/>
        <v>649660</v>
      </c>
      <c r="V266" s="400">
        <f t="shared" si="28"/>
        <v>59182914</v>
      </c>
      <c r="W266" s="400">
        <f t="shared" si="28"/>
        <v>36084655</v>
      </c>
      <c r="X266" s="400">
        <f t="shared" si="28"/>
        <v>0</v>
      </c>
      <c r="Y266" s="400">
        <f t="shared" si="28"/>
        <v>65069986</v>
      </c>
      <c r="Z266" s="400">
        <f t="shared" si="28"/>
        <v>16324743</v>
      </c>
      <c r="AA266" s="400">
        <f t="shared" si="28"/>
        <v>31445000</v>
      </c>
      <c r="AB266" s="400">
        <f t="shared" si="28"/>
        <v>81991083</v>
      </c>
    </row>
    <row r="267" spans="1:30" x14ac:dyDescent="0.2">
      <c r="E267" s="557" t="s">
        <v>699</v>
      </c>
      <c r="G267" s="400">
        <f>SUM(G24:G25)</f>
        <v>0</v>
      </c>
      <c r="H267" s="400">
        <f t="shared" ref="H267:AB267" si="29">SUM(H24:H25)</f>
        <v>548554</v>
      </c>
      <c r="I267" s="400">
        <f t="shared" si="29"/>
        <v>14933908</v>
      </c>
      <c r="J267" s="400">
        <f t="shared" si="29"/>
        <v>19874106</v>
      </c>
      <c r="K267" s="400">
        <f t="shared" si="29"/>
        <v>566027</v>
      </c>
      <c r="L267" s="400">
        <f t="shared" si="29"/>
        <v>2641351</v>
      </c>
      <c r="M267" s="400">
        <f t="shared" si="29"/>
        <v>4065573</v>
      </c>
      <c r="N267" s="400">
        <f t="shared" si="29"/>
        <v>940360</v>
      </c>
      <c r="O267" s="400">
        <f t="shared" si="29"/>
        <v>0</v>
      </c>
      <c r="P267" s="400">
        <f t="shared" si="29"/>
        <v>1387261</v>
      </c>
      <c r="Q267" s="400">
        <f t="shared" si="29"/>
        <v>10490108</v>
      </c>
      <c r="R267" s="400">
        <f t="shared" si="29"/>
        <v>0</v>
      </c>
      <c r="S267" s="400">
        <f t="shared" si="29"/>
        <v>6364713</v>
      </c>
      <c r="T267" s="400">
        <f t="shared" si="29"/>
        <v>0</v>
      </c>
      <c r="U267" s="400">
        <f t="shared" si="29"/>
        <v>0</v>
      </c>
      <c r="V267" s="400">
        <f t="shared" si="29"/>
        <v>0</v>
      </c>
      <c r="W267" s="400">
        <f t="shared" si="29"/>
        <v>11284411</v>
      </c>
      <c r="X267" s="400">
        <f t="shared" si="29"/>
        <v>0</v>
      </c>
      <c r="Y267" s="400">
        <f t="shared" si="29"/>
        <v>17767591</v>
      </c>
      <c r="Z267" s="400">
        <f t="shared" si="29"/>
        <v>9340</v>
      </c>
      <c r="AA267" s="400">
        <f t="shared" si="29"/>
        <v>46489000</v>
      </c>
      <c r="AB267" s="400">
        <f t="shared" si="29"/>
        <v>7176828</v>
      </c>
    </row>
    <row r="268" spans="1:30" x14ac:dyDescent="0.2">
      <c r="E268" s="550"/>
      <c r="H268" s="3"/>
      <c r="I268" s="3"/>
      <c r="J268" s="3"/>
      <c r="K268" s="3"/>
      <c r="L268" s="3"/>
      <c r="M268" s="3"/>
      <c r="N268" s="3"/>
      <c r="O268" s="3"/>
      <c r="P268" s="3"/>
      <c r="Q268" s="3"/>
      <c r="R268" s="3"/>
      <c r="S268" s="3"/>
      <c r="T268" s="3"/>
      <c r="U268" s="3"/>
      <c r="V268" s="3"/>
      <c r="W268" s="3"/>
      <c r="X268" s="3"/>
      <c r="Y268" s="3"/>
      <c r="Z268" s="3"/>
      <c r="AA268" s="3"/>
      <c r="AB268" s="3"/>
    </row>
    <row r="269" spans="1:30" x14ac:dyDescent="0.2">
      <c r="E269" s="550"/>
      <c r="H269" s="3"/>
      <c r="I269" s="3"/>
      <c r="J269" s="3"/>
      <c r="K269" s="3"/>
      <c r="L269" s="3"/>
      <c r="M269" s="3"/>
      <c r="N269" s="3"/>
      <c r="O269" s="3"/>
      <c r="P269" s="3"/>
      <c r="Q269" s="3"/>
      <c r="R269" s="3"/>
      <c r="S269" s="3"/>
      <c r="T269" s="3"/>
      <c r="U269" s="3"/>
      <c r="V269" s="3"/>
      <c r="W269" s="3"/>
      <c r="X269" s="3"/>
      <c r="Y269" s="3"/>
      <c r="Z269" s="3"/>
      <c r="AA269" s="3"/>
      <c r="AB269" s="3"/>
    </row>
    <row r="270" spans="1:30" x14ac:dyDescent="0.2">
      <c r="E270" s="557" t="s">
        <v>132</v>
      </c>
      <c r="H270" s="3"/>
      <c r="I270" s="3"/>
      <c r="J270" s="3"/>
      <c r="K270" s="3"/>
      <c r="L270" s="3"/>
      <c r="M270" s="3"/>
      <c r="N270" s="3"/>
      <c r="O270" s="3"/>
      <c r="P270" s="3"/>
      <c r="Q270" s="3"/>
      <c r="R270" s="3"/>
      <c r="S270" s="3"/>
      <c r="T270" s="3"/>
      <c r="U270" s="3"/>
      <c r="V270" s="3"/>
      <c r="W270" s="3"/>
      <c r="X270" s="3"/>
      <c r="Y270" s="3"/>
      <c r="Z270" s="3"/>
      <c r="AA270" s="3"/>
      <c r="AB270" s="3"/>
    </row>
    <row r="271" spans="1:30" x14ac:dyDescent="0.2">
      <c r="E271" s="557" t="s">
        <v>578</v>
      </c>
      <c r="G271" s="400">
        <f t="shared" ref="G271" si="30">SUM(G131,G147)</f>
        <v>0</v>
      </c>
      <c r="H271" s="400">
        <f t="shared" ref="H271:AB277" si="31">SUM(H131,H147)</f>
        <v>4440612</v>
      </c>
      <c r="I271" s="400">
        <f t="shared" si="31"/>
        <v>14486900</v>
      </c>
      <c r="J271" s="400">
        <f t="shared" si="31"/>
        <v>29196104</v>
      </c>
      <c r="K271" s="400">
        <f t="shared" si="31"/>
        <v>196116</v>
      </c>
      <c r="L271" s="400">
        <f t="shared" si="31"/>
        <v>8471744</v>
      </c>
      <c r="M271" s="400">
        <f t="shared" si="31"/>
        <v>1463921</v>
      </c>
      <c r="N271" s="400">
        <f t="shared" si="31"/>
        <v>1685141</v>
      </c>
      <c r="O271" s="400">
        <f t="shared" si="31"/>
        <v>82454</v>
      </c>
      <c r="P271" s="400">
        <f t="shared" si="31"/>
        <v>2626594</v>
      </c>
      <c r="Q271" s="400">
        <f t="shared" si="31"/>
        <v>8274832</v>
      </c>
      <c r="R271" s="400">
        <f t="shared" si="31"/>
        <v>176642</v>
      </c>
      <c r="S271" s="400">
        <f t="shared" si="31"/>
        <v>4586073</v>
      </c>
      <c r="T271" s="400">
        <f t="shared" si="31"/>
        <v>199706</v>
      </c>
      <c r="U271" s="400">
        <f t="shared" si="31"/>
        <v>181221</v>
      </c>
      <c r="V271" s="400">
        <f t="shared" si="31"/>
        <v>120687458</v>
      </c>
      <c r="W271" s="400">
        <f t="shared" si="31"/>
        <v>59262457</v>
      </c>
      <c r="X271" s="400">
        <f t="shared" si="31"/>
        <v>40859366</v>
      </c>
      <c r="Y271" s="400">
        <f t="shared" si="31"/>
        <v>32264591</v>
      </c>
      <c r="Z271" s="400">
        <f t="shared" si="31"/>
        <v>1746383</v>
      </c>
      <c r="AA271" s="400">
        <f t="shared" si="31"/>
        <v>60726000</v>
      </c>
      <c r="AB271" s="400">
        <f t="shared" si="31"/>
        <v>5729445</v>
      </c>
      <c r="AD271" s="617">
        <f>SUM(H271:AB271)</f>
        <v>397343760</v>
      </c>
    </row>
    <row r="272" spans="1:30" x14ac:dyDescent="0.2">
      <c r="E272" s="713" t="s">
        <v>1472</v>
      </c>
      <c r="G272" s="400">
        <f t="shared" ref="G272:V277" si="32">SUM(G132,G148)</f>
        <v>0</v>
      </c>
      <c r="H272" s="400">
        <f t="shared" si="32"/>
        <v>72737918</v>
      </c>
      <c r="I272" s="400">
        <f t="shared" si="32"/>
        <v>21046684</v>
      </c>
      <c r="J272" s="400">
        <f t="shared" si="32"/>
        <v>53220466</v>
      </c>
      <c r="K272" s="400">
        <f t="shared" si="32"/>
        <v>0</v>
      </c>
      <c r="L272" s="400">
        <f t="shared" si="32"/>
        <v>7050231</v>
      </c>
      <c r="M272" s="400">
        <f t="shared" si="32"/>
        <v>3212708</v>
      </c>
      <c r="N272" s="400">
        <f t="shared" si="32"/>
        <v>5608609</v>
      </c>
      <c r="O272" s="400">
        <f t="shared" si="32"/>
        <v>0</v>
      </c>
      <c r="P272" s="400">
        <f t="shared" si="32"/>
        <v>166720</v>
      </c>
      <c r="Q272" s="400">
        <f t="shared" si="32"/>
        <v>115371439</v>
      </c>
      <c r="R272" s="400">
        <f t="shared" si="32"/>
        <v>0</v>
      </c>
      <c r="S272" s="400">
        <f t="shared" si="32"/>
        <v>28713181</v>
      </c>
      <c r="T272" s="400">
        <f t="shared" si="32"/>
        <v>0</v>
      </c>
      <c r="U272" s="400">
        <f t="shared" si="32"/>
        <v>0</v>
      </c>
      <c r="V272" s="400">
        <f t="shared" si="32"/>
        <v>161459075</v>
      </c>
      <c r="W272" s="400">
        <f t="shared" si="31"/>
        <v>98512114</v>
      </c>
      <c r="X272" s="400">
        <f t="shared" si="31"/>
        <v>47338741</v>
      </c>
      <c r="Y272" s="400">
        <f t="shared" si="31"/>
        <v>33220218</v>
      </c>
      <c r="Z272" s="400">
        <f t="shared" si="31"/>
        <v>269877</v>
      </c>
      <c r="AA272" s="400">
        <f t="shared" si="31"/>
        <v>205951000</v>
      </c>
      <c r="AB272" s="400">
        <f t="shared" si="31"/>
        <v>0</v>
      </c>
      <c r="AD272" s="617">
        <f>SUM(H272:AB272)</f>
        <v>853878981</v>
      </c>
    </row>
    <row r="273" spans="4:30" x14ac:dyDescent="0.2">
      <c r="E273" s="493" t="s">
        <v>1587</v>
      </c>
      <c r="G273" s="400">
        <f>SUM(G133,G149)</f>
        <v>0</v>
      </c>
      <c r="H273" s="400">
        <f>SUM(H133,H149)</f>
        <v>0</v>
      </c>
      <c r="I273" s="400">
        <f t="shared" si="31"/>
        <v>0</v>
      </c>
      <c r="J273" s="400">
        <f t="shared" si="31"/>
        <v>0</v>
      </c>
      <c r="K273" s="400">
        <f t="shared" si="31"/>
        <v>0</v>
      </c>
      <c r="L273" s="400">
        <f t="shared" si="31"/>
        <v>0</v>
      </c>
      <c r="M273" s="400">
        <f t="shared" si="31"/>
        <v>0</v>
      </c>
      <c r="N273" s="400">
        <f t="shared" si="31"/>
        <v>0</v>
      </c>
      <c r="O273" s="400">
        <f t="shared" si="31"/>
        <v>0</v>
      </c>
      <c r="P273" s="400">
        <f t="shared" si="31"/>
        <v>0</v>
      </c>
      <c r="Q273" s="400">
        <f t="shared" si="31"/>
        <v>0</v>
      </c>
      <c r="R273" s="400">
        <f t="shared" si="31"/>
        <v>0</v>
      </c>
      <c r="S273" s="400">
        <f t="shared" si="31"/>
        <v>0</v>
      </c>
      <c r="T273" s="400">
        <f t="shared" si="31"/>
        <v>0</v>
      </c>
      <c r="U273" s="400">
        <f t="shared" si="31"/>
        <v>0</v>
      </c>
      <c r="V273" s="400">
        <f t="shared" si="31"/>
        <v>0</v>
      </c>
      <c r="W273" s="400">
        <f t="shared" si="31"/>
        <v>0</v>
      </c>
      <c r="X273" s="400">
        <f t="shared" si="31"/>
        <v>0</v>
      </c>
      <c r="Y273" s="400">
        <f t="shared" si="31"/>
        <v>0</v>
      </c>
      <c r="Z273" s="400">
        <f t="shared" si="31"/>
        <v>0</v>
      </c>
      <c r="AA273" s="400">
        <f t="shared" si="31"/>
        <v>0</v>
      </c>
      <c r="AB273" s="400">
        <f t="shared" si="31"/>
        <v>0</v>
      </c>
      <c r="AD273" s="617">
        <f>SUM(H273:AB273)</f>
        <v>0</v>
      </c>
    </row>
    <row r="274" spans="4:30" x14ac:dyDescent="0.2">
      <c r="E274" s="713" t="s">
        <v>1590</v>
      </c>
      <c r="G274" s="400">
        <f t="shared" si="32"/>
        <v>0</v>
      </c>
      <c r="H274" s="400">
        <f t="shared" si="31"/>
        <v>4843844</v>
      </c>
      <c r="I274" s="400">
        <f t="shared" si="31"/>
        <v>8114605</v>
      </c>
      <c r="J274" s="400">
        <f t="shared" si="31"/>
        <v>20004710</v>
      </c>
      <c r="K274" s="400">
        <f t="shared" si="31"/>
        <v>0</v>
      </c>
      <c r="L274" s="400">
        <f t="shared" si="31"/>
        <v>6465534</v>
      </c>
      <c r="M274" s="400">
        <f t="shared" si="31"/>
        <v>3810007</v>
      </c>
      <c r="N274" s="400">
        <f t="shared" si="31"/>
        <v>5516844</v>
      </c>
      <c r="O274" s="400">
        <f t="shared" si="31"/>
        <v>0</v>
      </c>
      <c r="P274" s="400">
        <f t="shared" si="31"/>
        <v>1424881</v>
      </c>
      <c r="Q274" s="400">
        <f t="shared" si="31"/>
        <v>17806052</v>
      </c>
      <c r="R274" s="400">
        <f t="shared" si="31"/>
        <v>0</v>
      </c>
      <c r="S274" s="400">
        <f t="shared" si="31"/>
        <v>3280609</v>
      </c>
      <c r="T274" s="400">
        <f t="shared" si="31"/>
        <v>0</v>
      </c>
      <c r="U274" s="400">
        <f t="shared" si="31"/>
        <v>0</v>
      </c>
      <c r="V274" s="400">
        <f t="shared" si="31"/>
        <v>53543600</v>
      </c>
      <c r="W274" s="400">
        <f t="shared" si="31"/>
        <v>15964961</v>
      </c>
      <c r="X274" s="400">
        <f t="shared" si="31"/>
        <v>26122305</v>
      </c>
      <c r="Y274" s="400">
        <f t="shared" si="31"/>
        <v>1147513</v>
      </c>
      <c r="Z274" s="400">
        <f t="shared" si="31"/>
        <v>3339526</v>
      </c>
      <c r="AA274" s="400">
        <f t="shared" si="31"/>
        <v>18208000</v>
      </c>
      <c r="AB274" s="400">
        <f t="shared" si="31"/>
        <v>0</v>
      </c>
      <c r="AD274" s="617">
        <f>SUM(H274:AB274)</f>
        <v>189592991</v>
      </c>
    </row>
    <row r="275" spans="4:30" x14ac:dyDescent="0.2">
      <c r="E275" s="557" t="s">
        <v>751</v>
      </c>
      <c r="G275" s="400">
        <f t="shared" si="32"/>
        <v>0</v>
      </c>
      <c r="H275" s="400">
        <f t="shared" si="31"/>
        <v>50330095</v>
      </c>
      <c r="I275" s="400">
        <f t="shared" si="31"/>
        <v>111562766</v>
      </c>
      <c r="J275" s="400">
        <f t="shared" si="31"/>
        <v>239221157</v>
      </c>
      <c r="K275" s="400">
        <f t="shared" si="31"/>
        <v>0</v>
      </c>
      <c r="L275" s="400">
        <f t="shared" si="31"/>
        <v>263355667</v>
      </c>
      <c r="M275" s="400">
        <f t="shared" si="31"/>
        <v>32852774</v>
      </c>
      <c r="N275" s="400">
        <f t="shared" si="31"/>
        <v>248278967</v>
      </c>
      <c r="O275" s="400">
        <f t="shared" si="31"/>
        <v>0</v>
      </c>
      <c r="P275" s="400">
        <f t="shared" si="31"/>
        <v>25138038</v>
      </c>
      <c r="Q275" s="400">
        <f t="shared" si="31"/>
        <v>115987388</v>
      </c>
      <c r="R275" s="400">
        <f t="shared" si="31"/>
        <v>0</v>
      </c>
      <c r="S275" s="400">
        <f t="shared" si="31"/>
        <v>15305495</v>
      </c>
      <c r="T275" s="400">
        <f t="shared" si="31"/>
        <v>0</v>
      </c>
      <c r="U275" s="400">
        <f t="shared" si="31"/>
        <v>0</v>
      </c>
      <c r="V275" s="400">
        <f t="shared" si="31"/>
        <v>6225242</v>
      </c>
      <c r="W275" s="400">
        <f t="shared" si="31"/>
        <v>79889556</v>
      </c>
      <c r="X275" s="400">
        <f t="shared" si="31"/>
        <v>161333766</v>
      </c>
      <c r="Y275" s="400">
        <f t="shared" si="31"/>
        <v>74572535</v>
      </c>
      <c r="Z275" s="400">
        <f t="shared" si="31"/>
        <v>17507031</v>
      </c>
      <c r="AA275" s="400">
        <f t="shared" si="31"/>
        <v>255821000</v>
      </c>
      <c r="AB275" s="400">
        <f t="shared" si="31"/>
        <v>25278338</v>
      </c>
      <c r="AD275" s="617">
        <f t="shared" ref="AD275:AD284" si="33">SUM(H275:AB275)</f>
        <v>1722659815</v>
      </c>
    </row>
    <row r="276" spans="4:30" x14ac:dyDescent="0.2">
      <c r="E276" s="557" t="s">
        <v>116</v>
      </c>
      <c r="G276" s="400">
        <f t="shared" si="32"/>
        <v>0</v>
      </c>
      <c r="H276" s="400">
        <f t="shared" si="31"/>
        <v>48787773</v>
      </c>
      <c r="I276" s="400">
        <f t="shared" si="31"/>
        <v>204558332</v>
      </c>
      <c r="J276" s="400">
        <f t="shared" si="31"/>
        <v>145473694</v>
      </c>
      <c r="K276" s="400">
        <f t="shared" si="31"/>
        <v>0</v>
      </c>
      <c r="L276" s="400">
        <f t="shared" si="31"/>
        <v>135789938</v>
      </c>
      <c r="M276" s="400">
        <f t="shared" si="31"/>
        <v>5407741</v>
      </c>
      <c r="N276" s="400">
        <f t="shared" si="31"/>
        <v>709285</v>
      </c>
      <c r="O276" s="400">
        <f t="shared" si="31"/>
        <v>0</v>
      </c>
      <c r="P276" s="400">
        <f t="shared" si="31"/>
        <v>58007422</v>
      </c>
      <c r="Q276" s="400">
        <f t="shared" si="31"/>
        <v>92168698</v>
      </c>
      <c r="R276" s="400">
        <f t="shared" si="31"/>
        <v>0</v>
      </c>
      <c r="S276" s="400">
        <f t="shared" si="31"/>
        <v>39575164</v>
      </c>
      <c r="T276" s="400">
        <f t="shared" si="31"/>
        <v>0</v>
      </c>
      <c r="U276" s="400">
        <f t="shared" si="31"/>
        <v>0</v>
      </c>
      <c r="V276" s="400">
        <f t="shared" si="31"/>
        <v>3339805444</v>
      </c>
      <c r="W276" s="400">
        <f t="shared" si="31"/>
        <v>361426687</v>
      </c>
      <c r="X276" s="400">
        <f t="shared" si="31"/>
        <v>541193718</v>
      </c>
      <c r="Y276" s="400">
        <f t="shared" si="31"/>
        <v>0</v>
      </c>
      <c r="Z276" s="400">
        <f t="shared" si="31"/>
        <v>1776964</v>
      </c>
      <c r="AA276" s="400">
        <f t="shared" si="31"/>
        <v>341392000</v>
      </c>
      <c r="AB276" s="400">
        <f t="shared" si="31"/>
        <v>51006374</v>
      </c>
      <c r="AD276" s="617">
        <f t="shared" si="33"/>
        <v>5367079234</v>
      </c>
    </row>
    <row r="277" spans="4:30" x14ac:dyDescent="0.2">
      <c r="E277" s="557" t="s">
        <v>816</v>
      </c>
      <c r="G277" s="400">
        <f t="shared" si="32"/>
        <v>0</v>
      </c>
      <c r="H277" s="400">
        <f t="shared" si="31"/>
        <v>0</v>
      </c>
      <c r="I277" s="400">
        <f t="shared" si="31"/>
        <v>0</v>
      </c>
      <c r="J277" s="400">
        <f t="shared" si="31"/>
        <v>0</v>
      </c>
      <c r="K277" s="400">
        <f t="shared" si="31"/>
        <v>0</v>
      </c>
      <c r="L277" s="400">
        <f t="shared" si="31"/>
        <v>0</v>
      </c>
      <c r="M277" s="400">
        <f t="shared" si="31"/>
        <v>0</v>
      </c>
      <c r="N277" s="400">
        <f t="shared" si="31"/>
        <v>0</v>
      </c>
      <c r="O277" s="400">
        <f t="shared" si="31"/>
        <v>0</v>
      </c>
      <c r="P277" s="400">
        <f t="shared" si="31"/>
        <v>0</v>
      </c>
      <c r="Q277" s="400">
        <f t="shared" si="31"/>
        <v>0</v>
      </c>
      <c r="R277" s="400">
        <f t="shared" si="31"/>
        <v>0</v>
      </c>
      <c r="S277" s="400">
        <f t="shared" si="31"/>
        <v>0</v>
      </c>
      <c r="T277" s="400">
        <f t="shared" si="31"/>
        <v>0</v>
      </c>
      <c r="U277" s="400">
        <f t="shared" si="31"/>
        <v>0</v>
      </c>
      <c r="V277" s="400">
        <f t="shared" si="31"/>
        <v>0</v>
      </c>
      <c r="W277" s="400">
        <f t="shared" si="31"/>
        <v>0</v>
      </c>
      <c r="X277" s="400">
        <f t="shared" si="31"/>
        <v>0</v>
      </c>
      <c r="Y277" s="400">
        <f t="shared" si="31"/>
        <v>0</v>
      </c>
      <c r="Z277" s="400">
        <f t="shared" si="31"/>
        <v>0</v>
      </c>
      <c r="AA277" s="400">
        <f t="shared" si="31"/>
        <v>0</v>
      </c>
      <c r="AB277" s="400">
        <f t="shared" si="31"/>
        <v>0</v>
      </c>
      <c r="AD277" s="617">
        <f t="shared" si="33"/>
        <v>0</v>
      </c>
    </row>
    <row r="278" spans="4:30" x14ac:dyDescent="0.2">
      <c r="E278" s="557" t="s">
        <v>716</v>
      </c>
      <c r="G278" s="400">
        <f t="shared" ref="G278" si="34">SUM(G138,G154)</f>
        <v>0</v>
      </c>
      <c r="H278" s="400">
        <f t="shared" ref="H278:AB278" si="35">SUM(H138,H154)</f>
        <v>1384877</v>
      </c>
      <c r="I278" s="400">
        <f t="shared" si="35"/>
        <v>1050095</v>
      </c>
      <c r="J278" s="400">
        <f t="shared" si="35"/>
        <v>1028144</v>
      </c>
      <c r="K278" s="400">
        <f t="shared" si="35"/>
        <v>0</v>
      </c>
      <c r="L278" s="400">
        <f t="shared" si="35"/>
        <v>0</v>
      </c>
      <c r="M278" s="400">
        <f t="shared" si="35"/>
        <v>42757</v>
      </c>
      <c r="N278" s="400">
        <f t="shared" si="35"/>
        <v>0</v>
      </c>
      <c r="O278" s="400">
        <f t="shared" si="35"/>
        <v>0</v>
      </c>
      <c r="P278" s="400">
        <f t="shared" si="35"/>
        <v>374448</v>
      </c>
      <c r="Q278" s="400">
        <f t="shared" si="35"/>
        <v>0</v>
      </c>
      <c r="R278" s="400">
        <f t="shared" si="35"/>
        <v>0</v>
      </c>
      <c r="S278" s="400">
        <f t="shared" si="35"/>
        <v>0</v>
      </c>
      <c r="T278" s="400">
        <f t="shared" si="35"/>
        <v>362814</v>
      </c>
      <c r="U278" s="400">
        <f t="shared" si="35"/>
        <v>0</v>
      </c>
      <c r="V278" s="400">
        <f t="shared" si="35"/>
        <v>788514</v>
      </c>
      <c r="W278" s="400">
        <f t="shared" si="35"/>
        <v>708030</v>
      </c>
      <c r="X278" s="400">
        <f t="shared" si="35"/>
        <v>0</v>
      </c>
      <c r="Y278" s="400">
        <f t="shared" si="35"/>
        <v>480496</v>
      </c>
      <c r="Z278" s="400">
        <f t="shared" si="35"/>
        <v>0</v>
      </c>
      <c r="AA278" s="400">
        <f t="shared" si="35"/>
        <v>0</v>
      </c>
      <c r="AB278" s="400">
        <f t="shared" si="35"/>
        <v>0</v>
      </c>
      <c r="AD278" s="617">
        <f t="shared" si="33"/>
        <v>6220175</v>
      </c>
    </row>
    <row r="279" spans="4:30" x14ac:dyDescent="0.2">
      <c r="E279" s="713" t="s">
        <v>1543</v>
      </c>
      <c r="G279" s="400">
        <f>SUM(G139,G155)</f>
        <v>0</v>
      </c>
      <c r="H279" s="400">
        <f t="shared" ref="H279:AB279" si="36">SUM(H139,H155)</f>
        <v>0</v>
      </c>
      <c r="I279" s="400">
        <f t="shared" si="36"/>
        <v>17906214</v>
      </c>
      <c r="J279" s="400">
        <f t="shared" si="36"/>
        <v>72827583</v>
      </c>
      <c r="K279" s="400">
        <f t="shared" si="36"/>
        <v>0</v>
      </c>
      <c r="L279" s="400">
        <f t="shared" si="36"/>
        <v>14584285</v>
      </c>
      <c r="M279" s="400">
        <f t="shared" si="36"/>
        <v>43875</v>
      </c>
      <c r="N279" s="400">
        <f t="shared" si="36"/>
        <v>912246</v>
      </c>
      <c r="O279" s="400">
        <f t="shared" si="36"/>
        <v>0</v>
      </c>
      <c r="P279" s="400">
        <f t="shared" si="36"/>
        <v>0</v>
      </c>
      <c r="Q279" s="400">
        <f t="shared" si="36"/>
        <v>0</v>
      </c>
      <c r="R279" s="400">
        <f t="shared" si="36"/>
        <v>0</v>
      </c>
      <c r="S279" s="400">
        <f t="shared" si="36"/>
        <v>0</v>
      </c>
      <c r="T279" s="400">
        <f t="shared" si="36"/>
        <v>0</v>
      </c>
      <c r="U279" s="400">
        <f t="shared" si="36"/>
        <v>0</v>
      </c>
      <c r="V279" s="400">
        <f t="shared" si="36"/>
        <v>0</v>
      </c>
      <c r="W279" s="400">
        <f t="shared" si="36"/>
        <v>0</v>
      </c>
      <c r="X279" s="400">
        <f t="shared" si="36"/>
        <v>0</v>
      </c>
      <c r="Y279" s="400">
        <f t="shared" si="36"/>
        <v>0</v>
      </c>
      <c r="Z279" s="400">
        <f t="shared" si="36"/>
        <v>0</v>
      </c>
      <c r="AA279" s="400">
        <f t="shared" si="36"/>
        <v>10560000</v>
      </c>
      <c r="AB279" s="400">
        <f t="shared" si="36"/>
        <v>0</v>
      </c>
      <c r="AD279" s="617">
        <f t="shared" si="33"/>
        <v>116834203</v>
      </c>
    </row>
    <row r="280" spans="4:30" x14ac:dyDescent="0.2">
      <c r="E280" s="713" t="s">
        <v>1557</v>
      </c>
      <c r="G280" s="400">
        <f>G156</f>
        <v>0</v>
      </c>
      <c r="H280" s="400">
        <f t="shared" ref="H280:AB280" si="37">H156</f>
        <v>34952412</v>
      </c>
      <c r="I280" s="400">
        <f t="shared" si="37"/>
        <v>83864611</v>
      </c>
      <c r="J280" s="400">
        <f t="shared" si="37"/>
        <v>168980232</v>
      </c>
      <c r="K280" s="400">
        <f t="shared" si="37"/>
        <v>0</v>
      </c>
      <c r="L280" s="400">
        <f t="shared" si="37"/>
        <v>126928466</v>
      </c>
      <c r="M280" s="400">
        <f t="shared" si="37"/>
        <v>28329235</v>
      </c>
      <c r="N280" s="400">
        <f t="shared" si="37"/>
        <v>22969482</v>
      </c>
      <c r="O280" s="400">
        <f t="shared" si="37"/>
        <v>1013883</v>
      </c>
      <c r="P280" s="400">
        <f t="shared" si="37"/>
        <v>41321194</v>
      </c>
      <c r="Q280" s="400">
        <f t="shared" si="37"/>
        <v>99971183</v>
      </c>
      <c r="R280" s="400">
        <f t="shared" si="37"/>
        <v>0</v>
      </c>
      <c r="S280" s="400">
        <f t="shared" si="37"/>
        <v>55467946</v>
      </c>
      <c r="T280" s="400">
        <f t="shared" si="37"/>
        <v>2267395</v>
      </c>
      <c r="U280" s="400">
        <f t="shared" si="37"/>
        <v>1139143</v>
      </c>
      <c r="V280" s="400">
        <f t="shared" si="37"/>
        <v>385339145</v>
      </c>
      <c r="W280" s="400">
        <f t="shared" si="37"/>
        <v>254213955</v>
      </c>
      <c r="X280" s="400">
        <f t="shared" si="37"/>
        <v>14768926</v>
      </c>
      <c r="Y280" s="400">
        <f t="shared" si="37"/>
        <v>343025494</v>
      </c>
      <c r="Z280" s="400">
        <f t="shared" si="37"/>
        <v>19852885</v>
      </c>
      <c r="AA280" s="400">
        <f t="shared" si="37"/>
        <v>284863000</v>
      </c>
      <c r="AB280" s="400">
        <f t="shared" si="37"/>
        <v>40788913</v>
      </c>
      <c r="AD280" s="617">
        <f t="shared" si="33"/>
        <v>2010057500</v>
      </c>
    </row>
    <row r="281" spans="4:30" x14ac:dyDescent="0.2">
      <c r="E281" s="713" t="s">
        <v>1369</v>
      </c>
      <c r="G281" s="400">
        <f>SUM(G140+G157)</f>
        <v>0</v>
      </c>
      <c r="H281" s="400">
        <f t="shared" ref="H281:AB281" si="38">SUM(H140+H157)</f>
        <v>10612449</v>
      </c>
      <c r="I281" s="400">
        <f t="shared" si="38"/>
        <v>33283986</v>
      </c>
      <c r="J281" s="400">
        <f t="shared" si="38"/>
        <v>68067364</v>
      </c>
      <c r="K281" s="400">
        <f t="shared" si="38"/>
        <v>0</v>
      </c>
      <c r="L281" s="400">
        <f t="shared" si="38"/>
        <v>34751111</v>
      </c>
      <c r="M281" s="400">
        <f t="shared" si="38"/>
        <v>8094884</v>
      </c>
      <c r="N281" s="400">
        <f t="shared" si="38"/>
        <v>7352881</v>
      </c>
      <c r="O281" s="400">
        <f t="shared" si="38"/>
        <v>172986</v>
      </c>
      <c r="P281" s="400">
        <f t="shared" si="38"/>
        <v>9637160</v>
      </c>
      <c r="Q281" s="400">
        <f t="shared" si="38"/>
        <v>30781955</v>
      </c>
      <c r="R281" s="400">
        <f t="shared" si="38"/>
        <v>62974</v>
      </c>
      <c r="S281" s="400">
        <f t="shared" si="38"/>
        <v>14107088</v>
      </c>
      <c r="T281" s="400">
        <f t="shared" si="38"/>
        <v>392080</v>
      </c>
      <c r="U281" s="400">
        <f t="shared" si="38"/>
        <v>185730</v>
      </c>
      <c r="V281" s="400">
        <f t="shared" si="38"/>
        <v>173939618</v>
      </c>
      <c r="W281" s="400">
        <f t="shared" si="38"/>
        <v>85513913</v>
      </c>
      <c r="X281" s="400">
        <f t="shared" si="38"/>
        <v>3816362</v>
      </c>
      <c r="Y281" s="400">
        <f t="shared" si="38"/>
        <v>67549667</v>
      </c>
      <c r="Z281" s="400">
        <f t="shared" si="38"/>
        <v>6242958</v>
      </c>
      <c r="AA281" s="400">
        <f t="shared" si="38"/>
        <v>109586000</v>
      </c>
      <c r="AB281" s="400">
        <f t="shared" si="38"/>
        <v>8267432</v>
      </c>
      <c r="AD281" s="617">
        <f t="shared" si="33"/>
        <v>672418598</v>
      </c>
    </row>
    <row r="282" spans="4:30" x14ac:dyDescent="0.2">
      <c r="E282" s="713" t="s">
        <v>1370</v>
      </c>
      <c r="G282" s="400">
        <f>SUM(G141,G158)</f>
        <v>0</v>
      </c>
      <c r="H282" s="400">
        <f t="shared" ref="H282:AB282" si="39">SUM(H141,H158)</f>
        <v>3585032</v>
      </c>
      <c r="I282" s="400">
        <f t="shared" si="39"/>
        <v>9835350</v>
      </c>
      <c r="J282" s="400">
        <f t="shared" si="39"/>
        <v>16423258</v>
      </c>
      <c r="K282" s="400">
        <f t="shared" si="39"/>
        <v>0</v>
      </c>
      <c r="L282" s="400">
        <f t="shared" si="39"/>
        <v>13227004</v>
      </c>
      <c r="M282" s="400">
        <f t="shared" si="39"/>
        <v>2997453</v>
      </c>
      <c r="N282" s="400">
        <f t="shared" si="39"/>
        <v>2459358</v>
      </c>
      <c r="O282" s="400">
        <f t="shared" si="39"/>
        <v>61081</v>
      </c>
      <c r="P282" s="400">
        <f t="shared" si="39"/>
        <v>3086589</v>
      </c>
      <c r="Q282" s="400">
        <f t="shared" si="39"/>
        <v>9153359</v>
      </c>
      <c r="R282" s="400">
        <f t="shared" si="39"/>
        <v>0</v>
      </c>
      <c r="S282" s="400">
        <f t="shared" si="39"/>
        <v>5277152</v>
      </c>
      <c r="T282" s="400">
        <f t="shared" si="39"/>
        <v>145085</v>
      </c>
      <c r="U282" s="400">
        <f t="shared" si="39"/>
        <v>66446</v>
      </c>
      <c r="V282" s="400">
        <f t="shared" si="39"/>
        <v>19684596</v>
      </c>
      <c r="W282" s="400">
        <f t="shared" si="39"/>
        <v>25414915</v>
      </c>
      <c r="X282" s="400">
        <f t="shared" si="39"/>
        <v>923623</v>
      </c>
      <c r="Y282" s="400">
        <f t="shared" si="39"/>
        <v>24066524</v>
      </c>
      <c r="Z282" s="400">
        <f t="shared" si="39"/>
        <v>2392891</v>
      </c>
      <c r="AA282" s="400">
        <f t="shared" si="39"/>
        <v>33126000</v>
      </c>
      <c r="AB282" s="400">
        <f t="shared" si="39"/>
        <v>2586189</v>
      </c>
      <c r="AD282" s="617">
        <f t="shared" si="33"/>
        <v>174511905</v>
      </c>
    </row>
    <row r="283" spans="4:30" x14ac:dyDescent="0.2">
      <c r="E283" s="557" t="s">
        <v>82</v>
      </c>
      <c r="G283" s="400">
        <f>SUM(G142,G159)</f>
        <v>0</v>
      </c>
      <c r="H283" s="400">
        <f t="shared" ref="H283:AB283" si="40">SUM(H142,H159)</f>
        <v>0</v>
      </c>
      <c r="I283" s="400">
        <f t="shared" si="40"/>
        <v>0</v>
      </c>
      <c r="J283" s="400">
        <f t="shared" si="40"/>
        <v>0</v>
      </c>
      <c r="K283" s="400">
        <f t="shared" si="40"/>
        <v>0</v>
      </c>
      <c r="L283" s="400">
        <f t="shared" si="40"/>
        <v>0</v>
      </c>
      <c r="M283" s="400">
        <f t="shared" si="40"/>
        <v>0</v>
      </c>
      <c r="N283" s="400">
        <f t="shared" si="40"/>
        <v>0</v>
      </c>
      <c r="O283" s="400">
        <f t="shared" si="40"/>
        <v>0</v>
      </c>
      <c r="P283" s="400">
        <f t="shared" si="40"/>
        <v>0</v>
      </c>
      <c r="Q283" s="400">
        <f t="shared" si="40"/>
        <v>0</v>
      </c>
      <c r="R283" s="400">
        <f t="shared" si="40"/>
        <v>0</v>
      </c>
      <c r="S283" s="400">
        <f t="shared" si="40"/>
        <v>0</v>
      </c>
      <c r="T283" s="400">
        <f t="shared" si="40"/>
        <v>0</v>
      </c>
      <c r="U283" s="400">
        <f t="shared" si="40"/>
        <v>0</v>
      </c>
      <c r="V283" s="400">
        <f t="shared" si="40"/>
        <v>109379799</v>
      </c>
      <c r="W283" s="400">
        <f t="shared" si="40"/>
        <v>0</v>
      </c>
      <c r="X283" s="400">
        <f t="shared" si="40"/>
        <v>0</v>
      </c>
      <c r="Y283" s="400">
        <f t="shared" si="40"/>
        <v>0</v>
      </c>
      <c r="Z283" s="400">
        <f t="shared" si="40"/>
        <v>0</v>
      </c>
      <c r="AA283" s="400">
        <f t="shared" si="40"/>
        <v>4210000</v>
      </c>
      <c r="AB283" s="400">
        <f t="shared" si="40"/>
        <v>0</v>
      </c>
      <c r="AD283" s="617">
        <f t="shared" si="33"/>
        <v>113589799</v>
      </c>
    </row>
    <row r="284" spans="4:30" x14ac:dyDescent="0.2">
      <c r="E284" s="557" t="s">
        <v>760</v>
      </c>
      <c r="F284" s="552"/>
      <c r="G284" s="400">
        <f>SUM(G143,G160)</f>
        <v>0</v>
      </c>
      <c r="H284" s="400">
        <f t="shared" ref="H284:AB284" si="41">SUM(H143,H160)</f>
        <v>0</v>
      </c>
      <c r="I284" s="400">
        <f t="shared" si="41"/>
        <v>322253</v>
      </c>
      <c r="J284" s="400">
        <f t="shared" si="41"/>
        <v>1954271</v>
      </c>
      <c r="K284" s="400">
        <f t="shared" si="41"/>
        <v>0</v>
      </c>
      <c r="L284" s="400">
        <f t="shared" si="41"/>
        <v>13802368</v>
      </c>
      <c r="M284" s="400">
        <f t="shared" si="41"/>
        <v>20692123</v>
      </c>
      <c r="N284" s="400">
        <f t="shared" si="41"/>
        <v>0</v>
      </c>
      <c r="O284" s="400">
        <f t="shared" si="41"/>
        <v>0</v>
      </c>
      <c r="P284" s="400">
        <f t="shared" si="41"/>
        <v>44850</v>
      </c>
      <c r="Q284" s="400">
        <f t="shared" si="41"/>
        <v>0</v>
      </c>
      <c r="R284" s="400">
        <f t="shared" si="41"/>
        <v>0</v>
      </c>
      <c r="S284" s="400">
        <f t="shared" si="41"/>
        <v>5984282</v>
      </c>
      <c r="T284" s="400">
        <f t="shared" si="41"/>
        <v>0</v>
      </c>
      <c r="U284" s="400">
        <f t="shared" si="41"/>
        <v>0</v>
      </c>
      <c r="V284" s="400">
        <f t="shared" si="41"/>
        <v>38752159</v>
      </c>
      <c r="W284" s="400">
        <f t="shared" si="41"/>
        <v>4624766</v>
      </c>
      <c r="X284" s="400">
        <f t="shared" si="41"/>
        <v>64380</v>
      </c>
      <c r="Y284" s="400">
        <f t="shared" si="41"/>
        <v>0</v>
      </c>
      <c r="Z284" s="400">
        <f t="shared" si="41"/>
        <v>0</v>
      </c>
      <c r="AA284" s="400">
        <f t="shared" si="41"/>
        <v>0</v>
      </c>
      <c r="AB284" s="400">
        <f t="shared" si="41"/>
        <v>1521882</v>
      </c>
      <c r="AD284" s="617">
        <f t="shared" si="33"/>
        <v>87763334</v>
      </c>
    </row>
    <row r="285" spans="4:30" x14ac:dyDescent="0.2">
      <c r="E285" s="550"/>
      <c r="H285" s="3"/>
      <c r="I285" s="3"/>
      <c r="J285" s="3"/>
      <c r="K285" s="3"/>
      <c r="L285" s="3"/>
      <c r="M285" s="3"/>
      <c r="N285" s="3"/>
      <c r="O285" s="3"/>
      <c r="P285" s="3"/>
      <c r="Q285" s="3"/>
      <c r="R285" s="3"/>
      <c r="S285" s="3"/>
      <c r="T285" s="3"/>
      <c r="U285" s="3"/>
      <c r="V285" s="3"/>
      <c r="W285" s="3"/>
      <c r="X285" s="3"/>
      <c r="Y285" s="3"/>
      <c r="Z285" s="3"/>
      <c r="AA285" s="3"/>
      <c r="AB285" s="3"/>
    </row>
    <row r="286" spans="4:30" x14ac:dyDescent="0.2">
      <c r="E286" s="557" t="s">
        <v>700</v>
      </c>
      <c r="G286" s="400">
        <f>SUM(G221:G226)</f>
        <v>0</v>
      </c>
      <c r="H286" s="400">
        <f t="shared" ref="H286:AB286" si="42">SUM(H221:H226)</f>
        <v>53836136</v>
      </c>
      <c r="I286" s="400">
        <f t="shared" si="42"/>
        <v>118215733</v>
      </c>
      <c r="J286" s="400">
        <f t="shared" si="42"/>
        <v>266546587</v>
      </c>
      <c r="K286" s="400">
        <f t="shared" si="42"/>
        <v>7325903</v>
      </c>
      <c r="L286" s="400">
        <f t="shared" si="42"/>
        <v>153514254</v>
      </c>
      <c r="M286" s="400">
        <f t="shared" si="42"/>
        <v>48455343</v>
      </c>
      <c r="N286" s="400">
        <f t="shared" si="42"/>
        <v>50315146</v>
      </c>
      <c r="O286" s="400">
        <f t="shared" si="42"/>
        <v>4024336</v>
      </c>
      <c r="P286" s="400">
        <f t="shared" si="42"/>
        <v>102530733</v>
      </c>
      <c r="Q286" s="400">
        <f t="shared" si="42"/>
        <v>241818394</v>
      </c>
      <c r="R286" s="400">
        <f t="shared" si="42"/>
        <v>2071045</v>
      </c>
      <c r="S286" s="400">
        <f t="shared" si="42"/>
        <v>103734364</v>
      </c>
      <c r="T286" s="400">
        <f t="shared" si="42"/>
        <v>5345219</v>
      </c>
      <c r="U286" s="400">
        <f t="shared" si="42"/>
        <v>4132258</v>
      </c>
      <c r="V286" s="400">
        <f t="shared" si="42"/>
        <v>269397977</v>
      </c>
      <c r="W286" s="400">
        <f t="shared" si="42"/>
        <v>324617299</v>
      </c>
      <c r="X286" s="400">
        <f t="shared" si="42"/>
        <v>0</v>
      </c>
      <c r="Y286" s="400">
        <f t="shared" si="42"/>
        <v>635634103</v>
      </c>
      <c r="Z286" s="400">
        <f t="shared" si="42"/>
        <v>24224514</v>
      </c>
      <c r="AA286" s="400">
        <f t="shared" si="42"/>
        <v>359227000</v>
      </c>
      <c r="AB286" s="400">
        <f t="shared" si="42"/>
        <v>89394076</v>
      </c>
    </row>
    <row r="287" spans="4:30" ht="30.75" customHeight="1" x14ac:dyDescent="0.2">
      <c r="D287" s="1154" t="s">
        <v>316</v>
      </c>
      <c r="E287" s="1155"/>
      <c r="G287" s="400">
        <f>SUM(G227,G231,G232)</f>
        <v>0</v>
      </c>
      <c r="H287" s="400">
        <f t="shared" ref="H287:AB287" si="43">SUM(H227,H231,H232)</f>
        <v>4960133</v>
      </c>
      <c r="I287" s="400">
        <f t="shared" si="43"/>
        <v>37923218</v>
      </c>
      <c r="J287" s="400">
        <f t="shared" si="43"/>
        <v>27702148</v>
      </c>
      <c r="K287" s="400">
        <f t="shared" si="43"/>
        <v>226233</v>
      </c>
      <c r="L287" s="400">
        <f t="shared" si="43"/>
        <v>151814414</v>
      </c>
      <c r="M287" s="400">
        <f t="shared" si="43"/>
        <v>20634383</v>
      </c>
      <c r="N287" s="400">
        <f t="shared" si="43"/>
        <v>14585758</v>
      </c>
      <c r="O287" s="400">
        <f t="shared" si="43"/>
        <v>648041</v>
      </c>
      <c r="P287" s="400">
        <f t="shared" si="43"/>
        <v>4304699</v>
      </c>
      <c r="Q287" s="400">
        <f t="shared" si="43"/>
        <v>12378730</v>
      </c>
      <c r="R287" s="400">
        <f t="shared" si="43"/>
        <v>491987</v>
      </c>
      <c r="S287" s="400">
        <f t="shared" si="43"/>
        <v>55771108</v>
      </c>
      <c r="T287" s="400">
        <f t="shared" si="43"/>
        <v>613912</v>
      </c>
      <c r="U287" s="400">
        <f t="shared" si="43"/>
        <v>326220</v>
      </c>
      <c r="V287" s="400">
        <f t="shared" si="43"/>
        <v>29204486</v>
      </c>
      <c r="W287" s="400">
        <f t="shared" si="43"/>
        <v>37544678</v>
      </c>
      <c r="X287" s="400">
        <f t="shared" si="43"/>
        <v>0</v>
      </c>
      <c r="Y287" s="400">
        <f t="shared" si="43"/>
        <v>51456902</v>
      </c>
      <c r="Z287" s="400">
        <f t="shared" si="43"/>
        <v>6779682</v>
      </c>
      <c r="AA287" s="400">
        <f t="shared" si="43"/>
        <v>43550000</v>
      </c>
      <c r="AB287" s="400">
        <f t="shared" si="43"/>
        <v>75598731</v>
      </c>
    </row>
    <row r="288" spans="4:30" x14ac:dyDescent="0.2">
      <c r="E288" s="557" t="s">
        <v>317</v>
      </c>
      <c r="G288" s="400">
        <f>SUM(G229:G230)</f>
        <v>0</v>
      </c>
      <c r="H288" s="400">
        <f t="shared" ref="H288:AB288" si="44">SUM(H229:H230)</f>
        <v>10143836</v>
      </c>
      <c r="I288" s="400">
        <f t="shared" si="44"/>
        <v>93984996</v>
      </c>
      <c r="J288" s="400">
        <f t="shared" si="44"/>
        <v>62893481</v>
      </c>
      <c r="K288" s="400">
        <f t="shared" si="44"/>
        <v>5070019</v>
      </c>
      <c r="L288" s="400">
        <f t="shared" si="44"/>
        <v>3932199</v>
      </c>
      <c r="M288" s="400">
        <f t="shared" si="44"/>
        <v>9059286</v>
      </c>
      <c r="N288" s="400">
        <f t="shared" si="44"/>
        <v>3704480</v>
      </c>
      <c r="O288" s="400">
        <f t="shared" si="44"/>
        <v>0</v>
      </c>
      <c r="P288" s="400">
        <f t="shared" si="44"/>
        <v>6440960</v>
      </c>
      <c r="Q288" s="400">
        <f t="shared" si="44"/>
        <v>45536516</v>
      </c>
      <c r="R288" s="400">
        <f t="shared" si="44"/>
        <v>96376</v>
      </c>
      <c r="S288" s="400">
        <f t="shared" si="44"/>
        <v>43570599</v>
      </c>
      <c r="T288" s="400">
        <f t="shared" si="44"/>
        <v>97279</v>
      </c>
      <c r="U288" s="400">
        <f t="shared" si="44"/>
        <v>861607</v>
      </c>
      <c r="V288" s="400">
        <f t="shared" si="44"/>
        <v>95567012</v>
      </c>
      <c r="W288" s="400">
        <f t="shared" si="44"/>
        <v>44352749</v>
      </c>
      <c r="X288" s="400">
        <f t="shared" si="44"/>
        <v>0</v>
      </c>
      <c r="Y288" s="400">
        <f t="shared" si="44"/>
        <v>49024797</v>
      </c>
      <c r="Z288" s="400">
        <f t="shared" si="44"/>
        <v>5175747</v>
      </c>
      <c r="AA288" s="400">
        <f t="shared" si="44"/>
        <v>150397000</v>
      </c>
      <c r="AB288" s="400">
        <f t="shared" si="44"/>
        <v>19272974</v>
      </c>
    </row>
    <row r="289" spans="5:28" x14ac:dyDescent="0.2">
      <c r="E289" s="550"/>
      <c r="H289" s="3"/>
      <c r="I289" s="3"/>
      <c r="J289" s="3"/>
      <c r="K289" s="3"/>
      <c r="L289" s="3"/>
      <c r="M289" s="3"/>
      <c r="N289" s="3"/>
      <c r="O289" s="3"/>
      <c r="P289" s="3"/>
      <c r="Q289" s="3"/>
      <c r="R289" s="3"/>
      <c r="S289" s="3"/>
      <c r="T289" s="3"/>
      <c r="U289" s="3"/>
      <c r="V289" s="3"/>
      <c r="W289" s="3"/>
      <c r="X289" s="3"/>
      <c r="Y289" s="3"/>
      <c r="Z289" s="3"/>
      <c r="AA289" s="3"/>
      <c r="AB289" s="3"/>
    </row>
    <row r="290" spans="5:28" x14ac:dyDescent="0.2">
      <c r="E290" s="550"/>
      <c r="H290" s="3"/>
      <c r="I290" s="3"/>
      <c r="J290" s="3"/>
      <c r="K290" s="3"/>
      <c r="L290" s="3"/>
      <c r="M290" s="3"/>
      <c r="N290" s="3"/>
      <c r="O290" s="3"/>
      <c r="P290" s="3"/>
      <c r="Q290" s="3"/>
      <c r="R290" s="3"/>
      <c r="S290" s="3"/>
      <c r="T290" s="3"/>
      <c r="U290" s="3"/>
      <c r="V290" s="3"/>
      <c r="W290" s="3"/>
      <c r="X290" s="3"/>
      <c r="Y290" s="3"/>
      <c r="Z290" s="3"/>
      <c r="AA290" s="3"/>
      <c r="AB290" s="3"/>
    </row>
    <row r="291" spans="5:28" x14ac:dyDescent="0.2">
      <c r="E291" s="557" t="s">
        <v>255</v>
      </c>
      <c r="G291" s="568">
        <f>SUM(G271:G284)</f>
        <v>0</v>
      </c>
      <c r="H291" s="568">
        <f t="shared" ref="H291:AB291" si="45">SUM(H271:H284)</f>
        <v>231675012</v>
      </c>
      <c r="I291" s="568">
        <f t="shared" si="45"/>
        <v>506031796</v>
      </c>
      <c r="J291" s="568">
        <f t="shared" si="45"/>
        <v>816396983</v>
      </c>
      <c r="K291" s="568">
        <f t="shared" si="45"/>
        <v>196116</v>
      </c>
      <c r="L291" s="568">
        <f t="shared" si="45"/>
        <v>624426348</v>
      </c>
      <c r="M291" s="568">
        <f t="shared" si="45"/>
        <v>106947478</v>
      </c>
      <c r="N291" s="568">
        <f t="shared" si="45"/>
        <v>295492813</v>
      </c>
      <c r="O291" s="568">
        <f t="shared" si="45"/>
        <v>1330404</v>
      </c>
      <c r="P291" s="568">
        <f t="shared" si="45"/>
        <v>141827896</v>
      </c>
      <c r="Q291" s="568">
        <f t="shared" si="45"/>
        <v>489514906</v>
      </c>
      <c r="R291" s="568">
        <f t="shared" si="45"/>
        <v>239616</v>
      </c>
      <c r="S291" s="568">
        <f t="shared" si="45"/>
        <v>172296990</v>
      </c>
      <c r="T291" s="568">
        <f t="shared" si="45"/>
        <v>3367080</v>
      </c>
      <c r="U291" s="568">
        <f t="shared" si="45"/>
        <v>1572540</v>
      </c>
      <c r="V291" s="568">
        <f t="shared" si="45"/>
        <v>4409604650</v>
      </c>
      <c r="W291" s="568">
        <f t="shared" si="45"/>
        <v>985531354</v>
      </c>
      <c r="X291" s="568">
        <f t="shared" si="45"/>
        <v>836421187</v>
      </c>
      <c r="Y291" s="568">
        <f t="shared" si="45"/>
        <v>576327038</v>
      </c>
      <c r="Z291" s="568">
        <f t="shared" si="45"/>
        <v>53128515</v>
      </c>
      <c r="AA291" s="568">
        <f t="shared" si="45"/>
        <v>1324443000</v>
      </c>
      <c r="AB291" s="568">
        <f t="shared" si="45"/>
        <v>135178573</v>
      </c>
    </row>
    <row r="292" spans="5:28" x14ac:dyDescent="0.2">
      <c r="E292" s="557" t="s">
        <v>315</v>
      </c>
      <c r="G292" s="568">
        <f>SUM(G126:G127)</f>
        <v>0</v>
      </c>
      <c r="H292" s="568">
        <f t="shared" ref="H292:AB292" si="46">SUM(H126:H127)</f>
        <v>0</v>
      </c>
      <c r="I292" s="568">
        <f t="shared" si="46"/>
        <v>0</v>
      </c>
      <c r="J292" s="568">
        <f t="shared" si="46"/>
        <v>0</v>
      </c>
      <c r="K292" s="568">
        <f t="shared" si="46"/>
        <v>0</v>
      </c>
      <c r="L292" s="568">
        <f t="shared" si="46"/>
        <v>0</v>
      </c>
      <c r="M292" s="568">
        <f t="shared" si="46"/>
        <v>0</v>
      </c>
      <c r="N292" s="568">
        <f t="shared" si="46"/>
        <v>0</v>
      </c>
      <c r="O292" s="568">
        <f t="shared" si="46"/>
        <v>0</v>
      </c>
      <c r="P292" s="568">
        <f t="shared" si="46"/>
        <v>0</v>
      </c>
      <c r="Q292" s="568">
        <f t="shared" si="46"/>
        <v>0</v>
      </c>
      <c r="R292" s="568">
        <f t="shared" si="46"/>
        <v>0</v>
      </c>
      <c r="S292" s="568">
        <f t="shared" si="46"/>
        <v>0</v>
      </c>
      <c r="T292" s="568">
        <f t="shared" si="46"/>
        <v>0</v>
      </c>
      <c r="U292" s="568">
        <f t="shared" si="46"/>
        <v>0</v>
      </c>
      <c r="V292" s="568">
        <f>SUM(V126:V127)</f>
        <v>10436000</v>
      </c>
      <c r="W292" s="568">
        <f t="shared" si="46"/>
        <v>0</v>
      </c>
      <c r="X292" s="568">
        <f t="shared" si="46"/>
        <v>42775047</v>
      </c>
      <c r="Y292" s="568">
        <f t="shared" si="46"/>
        <v>0</v>
      </c>
      <c r="Z292" s="568">
        <f t="shared" si="46"/>
        <v>0</v>
      </c>
      <c r="AA292" s="568">
        <f t="shared" si="46"/>
        <v>0</v>
      </c>
      <c r="AB292" s="568">
        <f t="shared" si="46"/>
        <v>0</v>
      </c>
    </row>
    <row r="293" spans="5:28" x14ac:dyDescent="0.2">
      <c r="E293" s="550"/>
    </row>
    <row r="294" spans="5:28" x14ac:dyDescent="0.2">
      <c r="E294" s="550"/>
    </row>
    <row r="295" spans="5:28" x14ac:dyDescent="0.2">
      <c r="E295" s="550"/>
    </row>
    <row r="296" spans="5:28" x14ac:dyDescent="0.2">
      <c r="E296" s="550"/>
    </row>
    <row r="297" spans="5:28" x14ac:dyDescent="0.2">
      <c r="E297" s="550"/>
    </row>
    <row r="298" spans="5:28" x14ac:dyDescent="0.2">
      <c r="E298" s="550"/>
    </row>
    <row r="299" spans="5:28" x14ac:dyDescent="0.2">
      <c r="E299" s="550"/>
    </row>
    <row r="300" spans="5:28" x14ac:dyDescent="0.2">
      <c r="E300" s="550"/>
    </row>
    <row r="301" spans="5:28" x14ac:dyDescent="0.2">
      <c r="E301" s="550"/>
    </row>
    <row r="302" spans="5:28" x14ac:dyDescent="0.2">
      <c r="E302" s="550"/>
    </row>
    <row r="303" spans="5:28" x14ac:dyDescent="0.2">
      <c r="E303" s="550"/>
    </row>
    <row r="304" spans="5:28" x14ac:dyDescent="0.2">
      <c r="E304" s="550"/>
    </row>
    <row r="305" spans="5:5" x14ac:dyDescent="0.2">
      <c r="E305" s="550"/>
    </row>
    <row r="306" spans="5:5" x14ac:dyDescent="0.2">
      <c r="E306" s="550"/>
    </row>
    <row r="307" spans="5:5" x14ac:dyDescent="0.2">
      <c r="E307" s="550"/>
    </row>
    <row r="308" spans="5:5" x14ac:dyDescent="0.2">
      <c r="E308" s="550"/>
    </row>
    <row r="309" spans="5:5" x14ac:dyDescent="0.2">
      <c r="E309" s="550"/>
    </row>
    <row r="310" spans="5:5" x14ac:dyDescent="0.2">
      <c r="E310" s="550"/>
    </row>
    <row r="311" spans="5:5" x14ac:dyDescent="0.2">
      <c r="E311" s="550"/>
    </row>
    <row r="312" spans="5:5" x14ac:dyDescent="0.2">
      <c r="E312" s="550"/>
    </row>
    <row r="313" spans="5:5" x14ac:dyDescent="0.2">
      <c r="E313" s="550"/>
    </row>
    <row r="314" spans="5:5" x14ac:dyDescent="0.2">
      <c r="E314" s="550"/>
    </row>
    <row r="315" spans="5:5" x14ac:dyDescent="0.2">
      <c r="E315" s="550"/>
    </row>
    <row r="316" spans="5:5" x14ac:dyDescent="0.2">
      <c r="E316" s="550"/>
    </row>
    <row r="317" spans="5:5" x14ac:dyDescent="0.2">
      <c r="E317" s="550"/>
    </row>
    <row r="318" spans="5:5" x14ac:dyDescent="0.2">
      <c r="E318" s="550"/>
    </row>
    <row r="319" spans="5:5" x14ac:dyDescent="0.2">
      <c r="E319" s="550"/>
    </row>
    <row r="320" spans="5:5" x14ac:dyDescent="0.2">
      <c r="E320" s="550"/>
    </row>
    <row r="321" spans="5:5" x14ac:dyDescent="0.2">
      <c r="E321" s="550"/>
    </row>
    <row r="322" spans="5:5" x14ac:dyDescent="0.2">
      <c r="E322" s="550"/>
    </row>
    <row r="323" spans="5:5" x14ac:dyDescent="0.2">
      <c r="E323" s="550"/>
    </row>
    <row r="324" spans="5:5" x14ac:dyDescent="0.2">
      <c r="E324" s="550"/>
    </row>
    <row r="325" spans="5:5" x14ac:dyDescent="0.2">
      <c r="E325" s="550"/>
    </row>
    <row r="326" spans="5:5" x14ac:dyDescent="0.2">
      <c r="E326" s="550"/>
    </row>
    <row r="327" spans="5:5" x14ac:dyDescent="0.2">
      <c r="E327" s="550"/>
    </row>
    <row r="328" spans="5:5" x14ac:dyDescent="0.2">
      <c r="E328" s="550"/>
    </row>
    <row r="329" spans="5:5" x14ac:dyDescent="0.2">
      <c r="E329" s="550"/>
    </row>
    <row r="330" spans="5:5" x14ac:dyDescent="0.2">
      <c r="E330" s="550"/>
    </row>
    <row r="331" spans="5:5" x14ac:dyDescent="0.2">
      <c r="E331" s="550"/>
    </row>
    <row r="332" spans="5:5" x14ac:dyDescent="0.2">
      <c r="E332" s="550"/>
    </row>
    <row r="333" spans="5:5" x14ac:dyDescent="0.2">
      <c r="E333" s="550"/>
    </row>
    <row r="334" spans="5:5" x14ac:dyDescent="0.2">
      <c r="E334" s="550"/>
    </row>
    <row r="335" spans="5:5" x14ac:dyDescent="0.2">
      <c r="E335" s="550"/>
    </row>
    <row r="336" spans="5:5" x14ac:dyDescent="0.2">
      <c r="E336" s="550"/>
    </row>
    <row r="337" spans="5:5" x14ac:dyDescent="0.2">
      <c r="E337" s="550"/>
    </row>
    <row r="338" spans="5:5" x14ac:dyDescent="0.2">
      <c r="E338" s="550"/>
    </row>
    <row r="339" spans="5:5" x14ac:dyDescent="0.2">
      <c r="E339" s="550"/>
    </row>
    <row r="340" spans="5:5" x14ac:dyDescent="0.2">
      <c r="E340" s="550"/>
    </row>
    <row r="341" spans="5:5" x14ac:dyDescent="0.2">
      <c r="E341" s="550"/>
    </row>
    <row r="342" spans="5:5" x14ac:dyDescent="0.2">
      <c r="E342" s="550"/>
    </row>
  </sheetData>
  <sheetProtection algorithmName="SHA-512" hashValue="HomTvveqyDvXWmuWs64gm9gjscfCAPPZaxE3DaHOY9/Eo6rez+gDJWnmHfBCLAaZl//UlxHXg6uFez3ABzLzBA==" saltValue="r/Hihxfn6I8DHqXM2PpYJQ==" spinCount="100000" sheet="1" objects="1" scenarios="1"/>
  <mergeCells count="9">
    <mergeCell ref="A5:D5"/>
    <mergeCell ref="A6:D6"/>
    <mergeCell ref="A54:D54"/>
    <mergeCell ref="A55:D55"/>
    <mergeCell ref="D287:E287"/>
    <mergeCell ref="A61:D61"/>
    <mergeCell ref="A62:D62"/>
    <mergeCell ref="A261:E261"/>
    <mergeCell ref="A203:E203"/>
  </mergeCells>
  <phoneticPr fontId="51" type="noConversion"/>
  <dataValidations xWindow="485" yWindow="608" count="9">
    <dataValidation allowBlank="1" showInputMessage="1" showErrorMessage="1" error="Enter whole number." sqref="A126:A127 G228:AB228 G23:AB23 G28:AB28 G233:AB233" xr:uid="{00000000-0002-0000-0000-000000000000}"/>
    <dataValidation allowBlank="1" showErrorMessage="1" error="_x000a_" prompt="_x000a_" sqref="G7:AB7" xr:uid="{00000000-0002-0000-0000-000001000000}"/>
    <dataValidation type="whole" allowBlank="1" showInputMessage="1" showErrorMessage="1" sqref="G31:AB31" xr:uid="{00000000-0002-0000-0000-000002000000}">
      <formula1>-10000000000000000000</formula1>
      <formula2>10000000000000000000</formula2>
    </dataValidation>
    <dataValidation type="whole" allowBlank="1" showErrorMessage="1" error="Enter whole number." sqref="G8:AB8 G2:AB6 G16:AB16 G99:AB102 G12:AB14 G255:AB255 G251:AB252 G104:AB104" xr:uid="{00000000-0002-0000-0000-000003000000}">
      <formula1>-10000000000000000000</formula1>
      <formula2>10000000000000000000</formula2>
    </dataValidation>
    <dataValidation allowBlank="1" showErrorMessage="1" prompt="_x000a_" sqref="G15:AB15 G63:AB63 G56:AB56" xr:uid="{00000000-0002-0000-0000-000004000000}"/>
    <dataValidation type="whole" allowBlank="1" showErrorMessage="1" prompt="_x000a_" sqref="G193:AB193" xr:uid="{00000000-0002-0000-0000-000005000000}">
      <formula1>-10000000000000000000</formula1>
      <formula2>10000000000000000000</formula2>
    </dataValidation>
    <dataValidation type="whole" allowBlank="1" showInputMessage="1" showErrorMessage="1" error="Enter whole dollar amount." sqref="G33:AB33 G179:AB179" xr:uid="{00000000-0002-0000-0000-000006000000}">
      <formula1>-10000000000000000000</formula1>
      <formula2>10000000000000000000</formula2>
    </dataValidation>
    <dataValidation type="whole" allowBlank="1" showInputMessage="1" showErrorMessage="1" error="Enter whole number." sqref="G246:AB246 G221:AB227 G208:AB210 G32:AB32 G183:AB192 G234:AB240 G197:AB197 G59:AB62 G116:AB120 G248:AB249 G194:AB194 G93:AB93 G147:AB160 G131:AB143 G45:AB46 G180:AB180 G98:AB98 G213:AB214 G244:AB244 G123:AB124 G20:AB22 G105:AB105 G173:AB178 G49:AB55 G39:AB42 G108:AB114 G229:AB232 G170:AB170 G36:AB37 G65:AB66 G30:AB30 G24:AB27 G34:AB34 G103:AB103" xr:uid="{00000000-0002-0000-0000-000007000000}">
      <formula1>-10000000000000000000</formula1>
      <formula2>10000000000000000000</formula2>
    </dataValidation>
    <dataValidation allowBlank="1" showErrorMessage="1" prompt="_x000a__x000a_" sqref="G243:AB243 G245:AB245" xr:uid="{00000000-0002-0000-0000-000008000000}"/>
  </dataValidations>
  <printOptions headings="1" gridLines="1"/>
  <pageMargins left="0.75" right="0.26" top="0.28000000000000003" bottom="1.08" header="0.17" footer="0.17"/>
  <pageSetup paperSize="5" scale="55" orientation="landscape" r:id="rId1"/>
  <headerFooter alignWithMargins="0">
    <oddFooter>&amp;L&amp;"Arial,Regular"&amp;Z&amp;F  &amp;A&amp;R&amp;"Arial,Regular"Page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22"/>
  <sheetViews>
    <sheetView showGridLines="0" zoomScale="90" zoomScaleNormal="90" zoomScaleSheetLayoutView="75" workbookViewId="0"/>
  </sheetViews>
  <sheetFormatPr defaultColWidth="9.33203125" defaultRowHeight="12.75" x14ac:dyDescent="0.2"/>
  <cols>
    <col min="1" max="1" width="5.6640625" style="385" customWidth="1"/>
    <col min="2" max="2" width="21.5" style="385" customWidth="1"/>
    <col min="3" max="3" width="15.1640625" style="386" customWidth="1"/>
    <col min="4" max="4" width="13.5" style="385" customWidth="1"/>
    <col min="5" max="5" width="16.83203125" style="385" customWidth="1"/>
    <col min="6" max="6" width="62.33203125" style="385" customWidth="1"/>
    <col min="7" max="7" width="6.6640625" style="385" customWidth="1"/>
    <col min="8" max="8" width="15.6640625" style="333" customWidth="1"/>
    <col min="9" max="9" width="16.83203125" style="333" customWidth="1"/>
    <col min="10" max="16384" width="9.33203125" style="385"/>
  </cols>
  <sheetData>
    <row r="1" spans="1:11" x14ac:dyDescent="0.2">
      <c r="A1" s="824" t="s">
        <v>1155</v>
      </c>
      <c r="D1" s="1240">
        <f>FST!E1</f>
        <v>0</v>
      </c>
      <c r="E1" s="1240"/>
      <c r="F1" s="1241"/>
    </row>
    <row r="2" spans="1:11" s="33" customFormat="1" ht="37.5" customHeight="1" x14ac:dyDescent="0.2">
      <c r="A2" s="824" t="s">
        <v>770</v>
      </c>
      <c r="B2" s="31"/>
      <c r="C2" s="382"/>
      <c r="D2" s="1246" t="str">
        <f>FST!E2</f>
        <v/>
      </c>
      <c r="E2" s="1247"/>
      <c r="F2" s="1248"/>
      <c r="G2" s="64"/>
      <c r="H2" s="10"/>
      <c r="I2" s="10"/>
      <c r="J2" s="64"/>
      <c r="K2" s="64"/>
    </row>
    <row r="3" spans="1:11" s="33" customFormat="1" ht="13.5" customHeight="1" x14ac:dyDescent="0.2">
      <c r="A3" s="824" t="s">
        <v>771</v>
      </c>
      <c r="B3" s="32"/>
      <c r="C3" s="382"/>
      <c r="D3" s="1249">
        <f>FST!E3</f>
        <v>0</v>
      </c>
      <c r="E3" s="1249"/>
      <c r="F3" s="1250"/>
      <c r="G3" s="64"/>
      <c r="H3" s="10"/>
      <c r="I3" s="10"/>
      <c r="J3" s="64"/>
      <c r="K3" s="64"/>
    </row>
    <row r="4" spans="1:11" s="33" customFormat="1" ht="12.6" customHeight="1" x14ac:dyDescent="0.2">
      <c r="A4" s="824" t="s">
        <v>773</v>
      </c>
      <c r="B4" s="32"/>
      <c r="C4" s="382"/>
      <c r="D4" s="1251">
        <f>FST!E4</f>
        <v>0</v>
      </c>
      <c r="E4" s="1251"/>
      <c r="F4" s="1252"/>
      <c r="G4" s="64"/>
      <c r="H4" s="10"/>
      <c r="I4" s="10"/>
      <c r="J4" s="64"/>
      <c r="K4" s="64"/>
    </row>
    <row r="5" spans="1:11" s="33" customFormat="1" ht="12.6" customHeight="1" x14ac:dyDescent="0.2">
      <c r="A5" s="825" t="s">
        <v>774</v>
      </c>
      <c r="B5" s="32"/>
      <c r="C5" s="382"/>
      <c r="D5" s="1249">
        <f>FST!E5</f>
        <v>0</v>
      </c>
      <c r="E5" s="1249"/>
      <c r="F5" s="1250"/>
      <c r="G5" s="64"/>
      <c r="H5" s="10"/>
      <c r="I5" s="10"/>
      <c r="J5" s="64"/>
      <c r="K5" s="64"/>
    </row>
    <row r="6" spans="1:11" s="33" customFormat="1" ht="12.6" customHeight="1" x14ac:dyDescent="0.2">
      <c r="A6" s="826" t="s">
        <v>775</v>
      </c>
      <c r="B6" s="32"/>
      <c r="C6" s="382"/>
      <c r="D6" s="1253">
        <f>FST!E6</f>
        <v>0</v>
      </c>
      <c r="E6" s="1253"/>
      <c r="F6" s="1254"/>
      <c r="G6" s="384"/>
      <c r="H6" s="479"/>
      <c r="I6" s="479"/>
      <c r="J6" s="384"/>
      <c r="K6" s="384"/>
    </row>
    <row r="7" spans="1:11" s="33" customFormat="1" ht="12.6" customHeight="1" x14ac:dyDescent="0.2">
      <c r="A7" s="67" t="s">
        <v>25</v>
      </c>
      <c r="B7" s="34"/>
      <c r="C7" s="383"/>
    </row>
    <row r="8" spans="1:11" s="33" customFormat="1" ht="12.6" customHeight="1" x14ac:dyDescent="0.2">
      <c r="A8" s="827" t="s">
        <v>1734</v>
      </c>
      <c r="B8" s="34"/>
      <c r="C8" s="383"/>
      <c r="D8" s="71"/>
    </row>
    <row r="9" spans="1:11" s="33" customFormat="1" ht="12.6" customHeight="1" x14ac:dyDescent="0.2">
      <c r="A9" s="67"/>
      <c r="B9" s="34"/>
      <c r="C9" s="383"/>
    </row>
    <row r="10" spans="1:11" s="33" customFormat="1" ht="12.6" customHeight="1" x14ac:dyDescent="0.2">
      <c r="A10" s="33" t="s">
        <v>449</v>
      </c>
      <c r="B10" s="34"/>
      <c r="C10" s="383"/>
    </row>
    <row r="11" spans="1:11" s="33" customFormat="1" ht="58.5" customHeight="1" x14ac:dyDescent="0.2">
      <c r="A11" s="1242" t="s">
        <v>1821</v>
      </c>
      <c r="B11" s="1243"/>
      <c r="C11" s="1243"/>
      <c r="D11" s="1243"/>
      <c r="E11" s="1243"/>
      <c r="F11" s="1243"/>
    </row>
    <row r="12" spans="1:11" s="33" customFormat="1" ht="6.75" customHeight="1" x14ac:dyDescent="0.2">
      <c r="A12" s="70"/>
      <c r="B12" s="952"/>
      <c r="C12" s="952"/>
      <c r="D12" s="952"/>
      <c r="E12" s="952"/>
      <c r="F12" s="952"/>
    </row>
    <row r="13" spans="1:11" s="33" customFormat="1" ht="26.25" customHeight="1" x14ac:dyDescent="0.2">
      <c r="A13" s="1242"/>
      <c r="B13" s="1243"/>
      <c r="C13" s="1243"/>
      <c r="D13" s="1243"/>
      <c r="E13" s="1243"/>
      <c r="F13" s="1243"/>
      <c r="G13" s="64"/>
      <c r="H13" s="64"/>
      <c r="I13" s="64"/>
      <c r="J13" s="64"/>
    </row>
    <row r="14" spans="1:11" ht="6.75" customHeight="1" x14ac:dyDescent="0.2"/>
    <row r="15" spans="1:11" ht="38.25" x14ac:dyDescent="0.2">
      <c r="A15" s="387" t="s">
        <v>215</v>
      </c>
      <c r="B15" s="387" t="s">
        <v>542</v>
      </c>
      <c r="C15" s="387" t="s">
        <v>426</v>
      </c>
      <c r="D15" s="387" t="s">
        <v>337</v>
      </c>
      <c r="E15" s="387" t="s">
        <v>338</v>
      </c>
      <c r="F15" s="388" t="s">
        <v>660</v>
      </c>
    </row>
    <row r="16" spans="1:11" ht="63.75" x14ac:dyDescent="0.2">
      <c r="A16" s="640" t="s">
        <v>214</v>
      </c>
      <c r="B16" s="385" t="s">
        <v>755</v>
      </c>
      <c r="C16" s="386" t="s">
        <v>8</v>
      </c>
      <c r="D16" s="742" t="s">
        <v>1038</v>
      </c>
      <c r="F16" s="389" t="s">
        <v>997</v>
      </c>
    </row>
    <row r="17" spans="1:8" x14ac:dyDescent="0.2">
      <c r="F17" s="381"/>
      <c r="H17" s="333" t="s">
        <v>566</v>
      </c>
    </row>
    <row r="18" spans="1:8" x14ac:dyDescent="0.2">
      <c r="F18" s="333" t="s">
        <v>749</v>
      </c>
      <c r="H18" s="1051">
        <f>FST!G46</f>
        <v>0</v>
      </c>
    </row>
    <row r="19" spans="1:8" x14ac:dyDescent="0.2">
      <c r="F19" s="333" t="s">
        <v>825</v>
      </c>
      <c r="H19" s="1051">
        <f>FST!G47</f>
        <v>0</v>
      </c>
    </row>
    <row r="20" spans="1:8" ht="5.25" customHeight="1" x14ac:dyDescent="0.2">
      <c r="F20" s="333"/>
      <c r="H20" s="480"/>
    </row>
    <row r="21" spans="1:8" x14ac:dyDescent="0.2">
      <c r="F21" s="333" t="s">
        <v>826</v>
      </c>
      <c r="H21" s="480"/>
    </row>
    <row r="22" spans="1:8" x14ac:dyDescent="0.2">
      <c r="F22" s="753" t="s">
        <v>1042</v>
      </c>
      <c r="H22" s="1051">
        <f>FST!G248</f>
        <v>0</v>
      </c>
    </row>
    <row r="23" spans="1:8" x14ac:dyDescent="0.2">
      <c r="F23" s="753" t="s">
        <v>1137</v>
      </c>
      <c r="H23" s="1051">
        <f>FST!G249</f>
        <v>0</v>
      </c>
    </row>
    <row r="24" spans="1:8" x14ac:dyDescent="0.2">
      <c r="F24" s="753" t="s">
        <v>1138</v>
      </c>
      <c r="H24" s="1051">
        <f>FST!G250</f>
        <v>0</v>
      </c>
    </row>
    <row r="25" spans="1:8" hidden="1" x14ac:dyDescent="0.2">
      <c r="F25" s="753" t="s">
        <v>1043</v>
      </c>
      <c r="H25" s="1051">
        <f>FST!G251</f>
        <v>0</v>
      </c>
    </row>
    <row r="26" spans="1:8" hidden="1" x14ac:dyDescent="0.2">
      <c r="F26" s="334" t="s">
        <v>230</v>
      </c>
      <c r="H26" s="1051">
        <f>FST!G252</f>
        <v>0</v>
      </c>
    </row>
    <row r="27" spans="1:8" x14ac:dyDescent="0.2">
      <c r="F27" s="334" t="s">
        <v>254</v>
      </c>
      <c r="H27" s="1051">
        <f>FST!G253</f>
        <v>0</v>
      </c>
    </row>
    <row r="28" spans="1:8" x14ac:dyDescent="0.2">
      <c r="F28" s="333" t="s">
        <v>827</v>
      </c>
      <c r="H28" s="1051">
        <f>FST!G254</f>
        <v>0</v>
      </c>
    </row>
    <row r="29" spans="1:8" x14ac:dyDescent="0.2">
      <c r="H29" s="480"/>
    </row>
    <row r="30" spans="1:8" ht="63.75" x14ac:dyDescent="0.2">
      <c r="A30" s="749" t="s">
        <v>543</v>
      </c>
      <c r="B30" s="746" t="s">
        <v>755</v>
      </c>
      <c r="C30" s="747" t="s">
        <v>8</v>
      </c>
      <c r="D30" s="667" t="s">
        <v>1038</v>
      </c>
      <c r="E30" s="746"/>
      <c r="F30" s="748" t="s">
        <v>998</v>
      </c>
      <c r="H30" s="480"/>
    </row>
    <row r="31" spans="1:8" x14ac:dyDescent="0.2">
      <c r="F31" s="389"/>
      <c r="H31" s="480"/>
    </row>
    <row r="32" spans="1:8" x14ac:dyDescent="0.2">
      <c r="D32" s="640"/>
      <c r="F32" s="334" t="s">
        <v>306</v>
      </c>
      <c r="H32" s="1051">
        <f>FST!G50</f>
        <v>0</v>
      </c>
    </row>
    <row r="33" spans="1:8" x14ac:dyDescent="0.2">
      <c r="F33" s="334" t="s">
        <v>307</v>
      </c>
      <c r="H33" s="1051">
        <f>FST!G51</f>
        <v>0</v>
      </c>
    </row>
    <row r="34" spans="1:8" x14ac:dyDescent="0.2">
      <c r="F34" s="334" t="s">
        <v>308</v>
      </c>
      <c r="H34" s="1051">
        <f>FST!G52</f>
        <v>0</v>
      </c>
    </row>
    <row r="35" spans="1:8" x14ac:dyDescent="0.2">
      <c r="F35" s="334" t="s">
        <v>309</v>
      </c>
      <c r="H35" s="1051">
        <f>FST!G53</f>
        <v>0</v>
      </c>
    </row>
    <row r="36" spans="1:8" x14ac:dyDescent="0.2">
      <c r="F36" s="334"/>
      <c r="H36" s="480"/>
    </row>
    <row r="37" spans="1:8" x14ac:dyDescent="0.2">
      <c r="F37" s="334" t="s">
        <v>276</v>
      </c>
      <c r="H37" s="1051">
        <f>FST!G256</f>
        <v>0</v>
      </c>
    </row>
    <row r="38" spans="1:8" x14ac:dyDescent="0.2">
      <c r="F38" s="334" t="s">
        <v>277</v>
      </c>
      <c r="H38" s="1051">
        <f>FST!G257</f>
        <v>0</v>
      </c>
    </row>
    <row r="39" spans="1:8" x14ac:dyDescent="0.2">
      <c r="F39" s="334" t="s">
        <v>278</v>
      </c>
      <c r="H39" s="1051">
        <f>FST!G258</f>
        <v>0</v>
      </c>
    </row>
    <row r="40" spans="1:8" x14ac:dyDescent="0.2">
      <c r="F40" s="334" t="s">
        <v>534</v>
      </c>
      <c r="H40" s="1051">
        <f>FST!G259</f>
        <v>0</v>
      </c>
    </row>
    <row r="41" spans="1:8" x14ac:dyDescent="0.2">
      <c r="A41" s="390"/>
      <c r="B41" s="390"/>
      <c r="C41" s="391"/>
      <c r="D41" s="390"/>
      <c r="E41" s="390"/>
      <c r="F41" s="390"/>
    </row>
    <row r="42" spans="1:8" ht="38.25" x14ac:dyDescent="0.2">
      <c r="A42" s="640" t="s">
        <v>521</v>
      </c>
      <c r="B42" s="385" t="s">
        <v>755</v>
      </c>
      <c r="C42" s="386" t="s">
        <v>8</v>
      </c>
      <c r="D42" s="742" t="s">
        <v>1038</v>
      </c>
      <c r="F42" s="389" t="s">
        <v>1248</v>
      </c>
      <c r="H42" s="1051">
        <f>FST!G48</f>
        <v>0</v>
      </c>
    </row>
    <row r="44" spans="1:8" ht="50.25" customHeight="1" x14ac:dyDescent="0.2">
      <c r="F44" s="667" t="str">
        <f>IF(D42="No","Answer Required","N/A")</f>
        <v>N/A</v>
      </c>
    </row>
    <row r="45" spans="1:8" x14ac:dyDescent="0.2">
      <c r="A45" s="390"/>
      <c r="B45" s="390"/>
      <c r="C45" s="391"/>
      <c r="D45" s="390"/>
      <c r="E45" s="390"/>
      <c r="F45" s="390"/>
    </row>
    <row r="46" spans="1:8" ht="51" x14ac:dyDescent="0.2">
      <c r="A46" s="640" t="s">
        <v>522</v>
      </c>
      <c r="B46" s="385" t="s">
        <v>755</v>
      </c>
      <c r="C46" s="386" t="s">
        <v>8</v>
      </c>
      <c r="D46" s="667" t="s">
        <v>1038</v>
      </c>
      <c r="F46" s="389" t="s">
        <v>875</v>
      </c>
      <c r="H46" s="1051">
        <f>FST!G282</f>
        <v>0</v>
      </c>
    </row>
    <row r="47" spans="1:8" x14ac:dyDescent="0.2">
      <c r="A47" s="390"/>
      <c r="B47" s="390"/>
      <c r="C47" s="391"/>
      <c r="D47" s="392"/>
      <c r="E47" s="390"/>
      <c r="F47" s="390"/>
    </row>
    <row r="48" spans="1:8" ht="63.75" x14ac:dyDescent="0.2">
      <c r="A48" s="640" t="s">
        <v>523</v>
      </c>
      <c r="B48" s="385" t="s">
        <v>755</v>
      </c>
      <c r="C48" s="386" t="s">
        <v>748</v>
      </c>
      <c r="E48" s="667" t="s">
        <v>1038</v>
      </c>
      <c r="F48" s="389" t="s">
        <v>876</v>
      </c>
      <c r="H48" s="1051">
        <f>FST!H282</f>
        <v>0</v>
      </c>
    </row>
    <row r="50" spans="1:6" x14ac:dyDescent="0.2">
      <c r="A50" s="390"/>
      <c r="B50" s="390"/>
      <c r="C50" s="391"/>
      <c r="D50" s="390"/>
      <c r="E50" s="390"/>
      <c r="F50" s="390"/>
    </row>
    <row r="51" spans="1:6" ht="48" customHeight="1" x14ac:dyDescent="0.2">
      <c r="A51" s="640" t="s">
        <v>524</v>
      </c>
      <c r="B51" s="385" t="s">
        <v>755</v>
      </c>
      <c r="C51" s="386" t="s">
        <v>8</v>
      </c>
      <c r="D51" s="742" t="s">
        <v>1038</v>
      </c>
      <c r="F51" s="389" t="s">
        <v>286</v>
      </c>
    </row>
    <row r="52" spans="1:6" x14ac:dyDescent="0.2">
      <c r="A52" s="390"/>
      <c r="B52" s="390"/>
      <c r="C52" s="391"/>
      <c r="D52" s="390"/>
      <c r="E52" s="390"/>
      <c r="F52" s="390"/>
    </row>
    <row r="53" spans="1:6" ht="61.5" customHeight="1" x14ac:dyDescent="0.2">
      <c r="A53" s="640" t="s">
        <v>525</v>
      </c>
      <c r="B53" s="385" t="s">
        <v>202</v>
      </c>
      <c r="C53" s="386" t="s">
        <v>287</v>
      </c>
      <c r="D53" s="667" t="s">
        <v>1038</v>
      </c>
      <c r="E53" s="667" t="str">
        <f>IF(AND('Combining FST'!G19="",'Combining FST'!H19="",'Combining FST'!I19="",'Combining FST'!J19="",'Combining FST'!K19="",'Combining FST'!L19="",'Combining FST'!M19="",'Combining FST'!N19=""),"N/A","Answer Required")</f>
        <v>N/A</v>
      </c>
      <c r="F53" s="389" t="s">
        <v>290</v>
      </c>
    </row>
    <row r="54" spans="1:6" x14ac:dyDescent="0.2">
      <c r="F54" s="389"/>
    </row>
    <row r="55" spans="1:6" ht="25.5" x14ac:dyDescent="0.2">
      <c r="F55" s="639" t="s">
        <v>1216</v>
      </c>
    </row>
    <row r="56" spans="1:6" x14ac:dyDescent="0.2">
      <c r="F56" s="639"/>
    </row>
    <row r="57" spans="1:6" ht="25.5" x14ac:dyDescent="0.2">
      <c r="F57" s="639" t="s">
        <v>1217</v>
      </c>
    </row>
    <row r="58" spans="1:6" x14ac:dyDescent="0.2">
      <c r="F58" s="639"/>
    </row>
    <row r="59" spans="1:6" ht="34.5" customHeight="1" x14ac:dyDescent="0.2">
      <c r="F59" s="407" t="s">
        <v>20</v>
      </c>
    </row>
    <row r="60" spans="1:6" ht="36" customHeight="1" x14ac:dyDescent="0.2">
      <c r="F60" s="407" t="s">
        <v>824</v>
      </c>
    </row>
    <row r="61" spans="1:6" ht="30.75" customHeight="1" x14ac:dyDescent="0.2">
      <c r="F61" s="407" t="s">
        <v>822</v>
      </c>
    </row>
    <row r="62" spans="1:6" ht="39.75" customHeight="1" x14ac:dyDescent="0.2">
      <c r="F62" s="407" t="s">
        <v>823</v>
      </c>
    </row>
    <row r="63" spans="1:6" ht="93.75" customHeight="1" x14ac:dyDescent="0.2">
      <c r="F63" s="640" t="s">
        <v>895</v>
      </c>
    </row>
    <row r="64" spans="1:6" x14ac:dyDescent="0.2">
      <c r="A64" s="390"/>
      <c r="B64" s="390"/>
      <c r="C64" s="391"/>
      <c r="D64" s="390"/>
      <c r="E64" s="390"/>
      <c r="F64" s="390"/>
    </row>
    <row r="65" spans="1:8" ht="38.25" x14ac:dyDescent="0.2">
      <c r="A65" s="640" t="s">
        <v>733</v>
      </c>
      <c r="B65" s="385" t="s">
        <v>755</v>
      </c>
      <c r="C65" s="386" t="s">
        <v>8</v>
      </c>
      <c r="D65" s="667" t="s">
        <v>1038</v>
      </c>
      <c r="F65" s="389" t="s">
        <v>64</v>
      </c>
    </row>
    <row r="66" spans="1:8" x14ac:dyDescent="0.2">
      <c r="F66" s="389"/>
    </row>
    <row r="67" spans="1:8" ht="38.25" x14ac:dyDescent="0.2">
      <c r="D67" s="393" t="str">
        <f>IF(D65="Yes","Answer Required","N/A")</f>
        <v>N/A</v>
      </c>
      <c r="F67" s="385" t="s">
        <v>231</v>
      </c>
    </row>
    <row r="68" spans="1:8" ht="51.75" customHeight="1" x14ac:dyDescent="0.2">
      <c r="F68" s="478" t="s">
        <v>0</v>
      </c>
    </row>
    <row r="69" spans="1:8" x14ac:dyDescent="0.2">
      <c r="F69" s="481" t="str">
        <f>IF(D67="Yes","Answer Required","N/A")</f>
        <v>N/A</v>
      </c>
    </row>
    <row r="70" spans="1:8" ht="144" customHeight="1" x14ac:dyDescent="0.2">
      <c r="F70" s="385" t="s">
        <v>7</v>
      </c>
    </row>
    <row r="71" spans="1:8" x14ac:dyDescent="0.2">
      <c r="A71" s="390"/>
      <c r="B71" s="390"/>
      <c r="C71" s="391"/>
      <c r="D71" s="390"/>
      <c r="E71" s="390"/>
      <c r="F71" s="390"/>
    </row>
    <row r="72" spans="1:8" ht="51" x14ac:dyDescent="0.2">
      <c r="A72" s="640" t="s">
        <v>734</v>
      </c>
      <c r="B72" s="385" t="s">
        <v>259</v>
      </c>
      <c r="C72" s="386" t="s">
        <v>8</v>
      </c>
      <c r="D72" s="667" t="s">
        <v>1038</v>
      </c>
      <c r="F72" s="389" t="s">
        <v>1039</v>
      </c>
    </row>
    <row r="74" spans="1:8" ht="51" x14ac:dyDescent="0.2">
      <c r="D74" s="667" t="s">
        <v>1038</v>
      </c>
      <c r="F74" s="389" t="s">
        <v>1037</v>
      </c>
    </row>
    <row r="75" spans="1:8" x14ac:dyDescent="0.2">
      <c r="F75" s="389"/>
    </row>
    <row r="76" spans="1:8" ht="51" x14ac:dyDescent="0.2">
      <c r="A76" s="749" t="s">
        <v>735</v>
      </c>
      <c r="B76" s="746" t="s">
        <v>756</v>
      </c>
      <c r="C76" s="747" t="s">
        <v>8</v>
      </c>
      <c r="D76" s="667" t="s">
        <v>1038</v>
      </c>
      <c r="E76" s="746"/>
      <c r="F76" s="748" t="s">
        <v>1838</v>
      </c>
    </row>
    <row r="77" spans="1:8" x14ac:dyDescent="0.2">
      <c r="D77" s="640"/>
    </row>
    <row r="78" spans="1:8" ht="67.5" customHeight="1" x14ac:dyDescent="0.2">
      <c r="F78" s="640" t="s">
        <v>877</v>
      </c>
    </row>
    <row r="79" spans="1:8" x14ac:dyDescent="0.2">
      <c r="A79" s="390"/>
      <c r="B79" s="390"/>
      <c r="C79" s="391"/>
      <c r="D79" s="390"/>
      <c r="E79" s="390"/>
      <c r="F79" s="390"/>
    </row>
    <row r="80" spans="1:8" ht="81.75" customHeight="1" x14ac:dyDescent="0.2">
      <c r="A80" s="749" t="s">
        <v>351</v>
      </c>
      <c r="B80" s="746" t="s">
        <v>755</v>
      </c>
      <c r="C80" s="747" t="s">
        <v>8</v>
      </c>
      <c r="D80" s="667" t="s">
        <v>1038</v>
      </c>
      <c r="E80" s="746"/>
      <c r="F80" s="748" t="s">
        <v>1040</v>
      </c>
      <c r="H80" s="1051">
        <f>FST!G150</f>
        <v>0</v>
      </c>
    </row>
    <row r="82" spans="1:9" x14ac:dyDescent="0.2">
      <c r="A82" s="390"/>
      <c r="B82" s="390"/>
      <c r="C82" s="391"/>
      <c r="D82" s="390"/>
      <c r="E82" s="390"/>
      <c r="F82" s="390"/>
    </row>
    <row r="83" spans="1:9" ht="25.5" hidden="1" x14ac:dyDescent="0.2">
      <c r="A83" s="640" t="s">
        <v>352</v>
      </c>
      <c r="B83" s="385" t="s">
        <v>196</v>
      </c>
      <c r="C83" s="386" t="s">
        <v>287</v>
      </c>
      <c r="D83" s="667" t="s">
        <v>1038</v>
      </c>
      <c r="E83" s="667" t="str">
        <f>IF(AND('Combining FST'!G19="",'Combining FST'!H19="",'Combining FST'!I19="",'Combining FST'!J19="",'Combining FST'!K19="",'Combining FST'!L19="",'Combining FST'!M19="",'Combining FST'!N19=""),"N/A","Answer Required")</f>
        <v>N/A</v>
      </c>
      <c r="F83" s="640" t="s">
        <v>1318</v>
      </c>
    </row>
    <row r="84" spans="1:9" hidden="1" x14ac:dyDescent="0.2"/>
    <row r="85" spans="1:9" ht="38.25" hidden="1" x14ac:dyDescent="0.2">
      <c r="F85" s="640" t="s">
        <v>1319</v>
      </c>
    </row>
    <row r="86" spans="1:9" hidden="1" x14ac:dyDescent="0.2">
      <c r="D86" s="386"/>
    </row>
    <row r="87" spans="1:9" ht="28.5" hidden="1" customHeight="1" x14ac:dyDescent="0.2">
      <c r="D87" s="667" t="str">
        <f>IF(D83="Yes","Answer Required","N/A")</f>
        <v>N/A</v>
      </c>
      <c r="F87" s="640" t="s">
        <v>1139</v>
      </c>
    </row>
    <row r="88" spans="1:9" ht="28.5" hidden="1" customHeight="1" x14ac:dyDescent="0.2">
      <c r="D88" s="667" t="str">
        <f>IF(D83="Yes","Answer Required","N/A")</f>
        <v>N/A</v>
      </c>
      <c r="F88" s="640" t="s">
        <v>1140</v>
      </c>
      <c r="I88" s="386"/>
    </row>
    <row r="89" spans="1:9" ht="28.5" hidden="1" customHeight="1" x14ac:dyDescent="0.2">
      <c r="D89" s="667" t="str">
        <f>IF(D83="Yes","Answer Required","N/A")</f>
        <v>N/A</v>
      </c>
      <c r="F89" s="640" t="s">
        <v>1141</v>
      </c>
    </row>
    <row r="90" spans="1:9" ht="28.5" hidden="1" customHeight="1" x14ac:dyDescent="0.2">
      <c r="D90" s="667" t="str">
        <f>IF(D83="Yes","Answer Required","N/A")</f>
        <v>N/A</v>
      </c>
      <c r="F90" s="640" t="s">
        <v>1142</v>
      </c>
    </row>
    <row r="91" spans="1:9" ht="28.5" hidden="1" customHeight="1" x14ac:dyDescent="0.2">
      <c r="E91" s="667" t="str">
        <f>IF(E83="Yes","Answer Required","N/A")</f>
        <v>N/A</v>
      </c>
      <c r="F91" s="640" t="s">
        <v>1143</v>
      </c>
    </row>
    <row r="92" spans="1:9" ht="28.5" hidden="1" customHeight="1" x14ac:dyDescent="0.2">
      <c r="E92" s="667" t="str">
        <f>IF(E83="Yes","Answer Required","N/A")</f>
        <v>N/A</v>
      </c>
      <c r="F92" s="640" t="s">
        <v>1144</v>
      </c>
    </row>
    <row r="93" spans="1:9" ht="28.5" hidden="1" customHeight="1" x14ac:dyDescent="0.2">
      <c r="E93" s="667" t="str">
        <f>IF(E83="Yes","Answer Required","N/A")</f>
        <v>N/A</v>
      </c>
      <c r="F93" s="640" t="s">
        <v>1145</v>
      </c>
    </row>
    <row r="94" spans="1:9" ht="28.5" hidden="1" customHeight="1" x14ac:dyDescent="0.2">
      <c r="E94" s="667" t="str">
        <f>IF(E83="Yes","Answer Required","N/A")</f>
        <v>N/A</v>
      </c>
      <c r="F94" s="640" t="s">
        <v>1146</v>
      </c>
    </row>
    <row r="95" spans="1:9" hidden="1" x14ac:dyDescent="0.2"/>
    <row r="96" spans="1:9" hidden="1" x14ac:dyDescent="0.2"/>
    <row r="97" spans="1:9" hidden="1" x14ac:dyDescent="0.2"/>
    <row r="98" spans="1:9" ht="76.5" x14ac:dyDescent="0.2">
      <c r="A98" s="750" t="s">
        <v>352</v>
      </c>
      <c r="B98" s="749" t="s">
        <v>846</v>
      </c>
      <c r="C98" s="751" t="s">
        <v>8</v>
      </c>
      <c r="D98" s="667" t="s">
        <v>1038</v>
      </c>
      <c r="E98" s="746"/>
      <c r="F98" s="749" t="s">
        <v>1733</v>
      </c>
    </row>
    <row r="99" spans="1:9" ht="60.75" customHeight="1" x14ac:dyDescent="0.2">
      <c r="F99" s="668" t="str">
        <f>IF(D98="No","Answer Required","N/A")</f>
        <v>N/A</v>
      </c>
    </row>
    <row r="101" spans="1:9" x14ac:dyDescent="0.2">
      <c r="C101" s="655"/>
      <c r="D101" s="656"/>
      <c r="E101" s="657" t="s">
        <v>847</v>
      </c>
      <c r="F101" s="656"/>
    </row>
    <row r="102" spans="1:9" ht="29.25" customHeight="1" x14ac:dyDescent="0.2">
      <c r="C102" s="1244" t="s">
        <v>848</v>
      </c>
      <c r="D102" s="1162"/>
      <c r="E102" s="1245"/>
      <c r="F102" s="660">
        <f>'TAB 5, LT Liabilities'!B124</f>
        <v>0</v>
      </c>
    </row>
    <row r="103" spans="1:9" ht="43.5" customHeight="1" x14ac:dyDescent="0.2">
      <c r="C103" s="1244" t="s">
        <v>898</v>
      </c>
      <c r="D103" s="1162"/>
      <c r="E103" s="1245"/>
      <c r="F103" s="658"/>
    </row>
    <row r="104" spans="1:9" x14ac:dyDescent="0.2">
      <c r="C104" s="659"/>
      <c r="D104" s="656"/>
      <c r="E104" s="657" t="s">
        <v>849</v>
      </c>
      <c r="F104" s="661">
        <f>F102-F103</f>
        <v>0</v>
      </c>
    </row>
    <row r="105" spans="1:9" x14ac:dyDescent="0.2">
      <c r="C105" s="659"/>
      <c r="D105" s="656"/>
      <c r="E105" s="656"/>
      <c r="F105" s="331"/>
    </row>
    <row r="106" spans="1:9" s="640" customFormat="1" x14ac:dyDescent="0.2">
      <c r="C106" s="654"/>
      <c r="D106" s="654"/>
      <c r="E106" s="654"/>
      <c r="F106" s="389"/>
      <c r="H106" s="699"/>
      <c r="I106" s="699"/>
    </row>
    <row r="107" spans="1:9" s="640" customFormat="1" x14ac:dyDescent="0.2">
      <c r="C107" s="654"/>
      <c r="D107" s="654"/>
      <c r="E107" s="654"/>
      <c r="F107" s="389"/>
      <c r="H107" s="699"/>
      <c r="I107" s="699"/>
    </row>
    <row r="108" spans="1:9" s="640" customFormat="1" x14ac:dyDescent="0.2">
      <c r="C108" s="654"/>
      <c r="D108" s="654"/>
      <c r="E108" s="654"/>
      <c r="F108" s="389"/>
      <c r="H108" s="699"/>
      <c r="I108" s="699"/>
    </row>
    <row r="109" spans="1:9" s="640" customFormat="1" x14ac:dyDescent="0.2">
      <c r="C109" s="654"/>
      <c r="D109" s="654"/>
      <c r="E109" s="654"/>
      <c r="F109" s="389"/>
      <c r="H109" s="699"/>
      <c r="I109" s="699"/>
    </row>
    <row r="110" spans="1:9" s="640" customFormat="1" x14ac:dyDescent="0.2">
      <c r="C110" s="654"/>
      <c r="D110" s="654"/>
      <c r="E110" s="654"/>
      <c r="F110" s="389"/>
      <c r="H110" s="699"/>
      <c r="I110" s="699"/>
    </row>
    <row r="111" spans="1:9" s="640" customFormat="1" x14ac:dyDescent="0.2">
      <c r="C111" s="654"/>
      <c r="D111" s="654"/>
      <c r="E111" s="654"/>
      <c r="F111" s="389"/>
      <c r="H111" s="699"/>
      <c r="I111" s="699"/>
    </row>
    <row r="112" spans="1:9" s="640" customFormat="1" x14ac:dyDescent="0.2">
      <c r="C112" s="654"/>
      <c r="D112" s="654"/>
      <c r="E112" s="654"/>
      <c r="F112" s="389"/>
      <c r="H112" s="699"/>
      <c r="I112" s="699"/>
    </row>
    <row r="113" spans="3:9" s="640" customFormat="1" x14ac:dyDescent="0.2">
      <c r="C113" s="654"/>
      <c r="D113" s="654"/>
      <c r="E113" s="654"/>
      <c r="F113" s="389"/>
      <c r="H113" s="699"/>
      <c r="I113" s="699"/>
    </row>
    <row r="114" spans="3:9" s="640" customFormat="1" x14ac:dyDescent="0.2">
      <c r="C114" s="654"/>
      <c r="D114" s="654"/>
      <c r="E114" s="654"/>
      <c r="F114" s="389"/>
      <c r="H114" s="699"/>
      <c r="I114" s="699"/>
    </row>
    <row r="115" spans="3:9" s="640" customFormat="1" x14ac:dyDescent="0.2">
      <c r="C115" s="654"/>
      <c r="D115" s="654"/>
      <c r="E115" s="654"/>
      <c r="F115" s="389"/>
      <c r="H115" s="699"/>
      <c r="I115" s="699"/>
    </row>
    <row r="116" spans="3:9" s="640" customFormat="1" x14ac:dyDescent="0.2">
      <c r="C116" s="654"/>
      <c r="D116" s="654"/>
      <c r="E116" s="654"/>
      <c r="F116" s="389"/>
      <c r="H116" s="699"/>
      <c r="I116" s="699"/>
    </row>
    <row r="117" spans="3:9" s="640" customFormat="1" x14ac:dyDescent="0.2">
      <c r="C117" s="654"/>
      <c r="D117" s="654"/>
      <c r="E117" s="654"/>
      <c r="F117" s="389"/>
      <c r="H117" s="699"/>
      <c r="I117" s="699"/>
    </row>
    <row r="118" spans="3:9" hidden="1" x14ac:dyDescent="0.2">
      <c r="C118" s="32" t="s">
        <v>726</v>
      </c>
    </row>
    <row r="119" spans="3:9" hidden="1" x14ac:dyDescent="0.2">
      <c r="C119" s="654" t="s">
        <v>155</v>
      </c>
      <c r="D119" s="640"/>
    </row>
    <row r="120" spans="3:9" hidden="1" x14ac:dyDescent="0.2">
      <c r="C120" s="654" t="s">
        <v>156</v>
      </c>
      <c r="D120" s="640"/>
    </row>
    <row r="121" spans="3:9" hidden="1" x14ac:dyDescent="0.2">
      <c r="C121" s="654" t="s">
        <v>380</v>
      </c>
    </row>
    <row r="122" spans="3:9" ht="15" customHeight="1" x14ac:dyDescent="0.2"/>
  </sheetData>
  <sheetProtection algorithmName="SHA-512" hashValue="Q9TzUsFiI4Jdn+m47lLp61dvM/2MFPJZhKUDCumHTz+xpmBkYYL3UIW20tMIQXL5bNQwQOP50vc1hZ0hUQtZkg==" saltValue="7F190qpPUhwNfv7dIiTnVQ==" spinCount="100000" sheet="1" objects="1" scenarios="1"/>
  <mergeCells count="10">
    <mergeCell ref="D1:F1"/>
    <mergeCell ref="A11:F11"/>
    <mergeCell ref="C102:E102"/>
    <mergeCell ref="C103:E103"/>
    <mergeCell ref="D2:F2"/>
    <mergeCell ref="D3:F3"/>
    <mergeCell ref="D4:F4"/>
    <mergeCell ref="D5:F5"/>
    <mergeCell ref="D6:F6"/>
    <mergeCell ref="A13:F13"/>
  </mergeCells>
  <phoneticPr fontId="12" type="noConversion"/>
  <conditionalFormatting sqref="A1:XFD1048576">
    <cfRule type="cellIs" dxfId="165" priority="1" operator="equal">
      <formula>"Answer Required"</formula>
    </cfRule>
  </conditionalFormatting>
  <dataValidations count="9">
    <dataValidation type="list" allowBlank="1" showInputMessage="1" showErrorMessage="1" sqref="K52:N52" xr:uid="{00000000-0002-0000-0900-000000000000}">
      <formula1>$D$119:$D$120</formula1>
    </dataValidation>
    <dataValidation type="whole" allowBlank="1" showInputMessage="1" showErrorMessage="1" error="Enter whole number._x000a_" sqref="F69" xr:uid="{00000000-0002-0000-0900-000001000000}">
      <formula1>-10000000000</formula1>
      <formula2>10000000000</formula2>
    </dataValidation>
    <dataValidation type="whole" allowBlank="1" showInputMessage="1" showErrorMessage="1" error="Enter whole number._x000a_" sqref="F103" xr:uid="{00000000-0002-0000-0900-000002000000}">
      <formula1>-100000000000000</formula1>
      <formula2>100000000000000</formula2>
    </dataValidation>
    <dataValidation type="list" allowBlank="1" showInputMessage="1" showErrorMessage="1" error="Enter Yes, No, or N/A." sqref="D98 E91:E94 D87:D90 D80 D76 D74 D72 D51 E53" xr:uid="{00000000-0002-0000-0900-000003000000}">
      <formula1>$C$119:$C$121</formula1>
    </dataValidation>
    <dataValidation type="list" allowBlank="1" showInputMessage="1" showErrorMessage="1" error="Enter Yes, No, or N/A._x000a_" sqref="D67" xr:uid="{00000000-0002-0000-0900-000004000000}">
      <formula1>$C$119:$C$121</formula1>
    </dataValidation>
    <dataValidation type="whole" allowBlank="1" showInputMessage="1" showErrorMessage="1" error="Enter a 3-digit agency control number." sqref="D1:F1" xr:uid="{00000000-0002-0000-0900-000005000000}">
      <formula1>100</formula1>
      <formula2>999</formula2>
    </dataValidation>
    <dataValidation type="list" allowBlank="1" showInputMessage="1" showErrorMessage="1" error="Enter Yes or No." sqref="D16 D83 D65 D53 D46 D30" xr:uid="{00000000-0002-0000-0900-000006000000}">
      <formula1>$C$119:$C$120</formula1>
    </dataValidation>
    <dataValidation type="list" allowBlank="1" showInputMessage="1" showErrorMessage="1" error="Enter Yes or No" sqref="D42" xr:uid="{00000000-0002-0000-0900-000007000000}">
      <formula1>$C$119:$C$120</formula1>
    </dataValidation>
    <dataValidation type="list" allowBlank="1" showInputMessage="1" showErrorMessage="1" error="Enter Yes, No, or N/A" sqref="E48 E83" xr:uid="{00000000-0002-0000-0900-000008000000}">
      <formula1>$C$119:$C$121</formula1>
    </dataValidation>
  </dataValidations>
  <pageMargins left="0.7" right="0.5" top="0.82" bottom="0.5" header="0.38" footer="0.17"/>
  <pageSetup scale="66" fitToHeight="0" orientation="portrait" r:id="rId1"/>
  <headerFooter alignWithMargins="0">
    <oddHeader>&amp;C&amp;"Arial,Bold"&amp;11Attachment HE-10
Financial Statement Template
&amp;A</oddHeader>
    <oddFooter>&amp;L&amp;"Arial,Regular"&amp;F \ &amp;A&amp;R&amp;"Arial,Regular"Page &amp;P</oddFooter>
  </headerFooter>
  <rowBreaks count="2" manualBreakCount="2">
    <brk id="51" max="7" man="1"/>
    <brk id="75"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20"/>
  <sheetViews>
    <sheetView showGridLines="0" zoomScaleNormal="100" zoomScaleSheetLayoutView="100" workbookViewId="0"/>
  </sheetViews>
  <sheetFormatPr defaultColWidth="10.6640625" defaultRowHeight="14.1" customHeight="1" x14ac:dyDescent="0.2"/>
  <cols>
    <col min="1" max="1" width="9" style="38" customWidth="1"/>
    <col min="2" max="2" width="6.33203125" style="38" customWidth="1"/>
    <col min="3" max="3" width="22" style="38" customWidth="1"/>
    <col min="4" max="4" width="7.6640625" style="38" customWidth="1"/>
    <col min="5" max="5" width="28" style="38" customWidth="1"/>
    <col min="6" max="6" width="5" style="40" customWidth="1"/>
    <col min="7" max="7" width="16.83203125" style="38" customWidth="1"/>
    <col min="8" max="8" width="6" style="38" customWidth="1"/>
    <col min="9" max="9" width="4.1640625" style="40" customWidth="1"/>
    <col min="10" max="10" width="19" style="38" customWidth="1"/>
    <col min="11" max="11" width="11.33203125" style="38" customWidth="1"/>
    <col min="12" max="12" width="10.6640625" style="38" hidden="1" customWidth="1"/>
    <col min="13" max="16384" width="10.6640625" style="38"/>
  </cols>
  <sheetData>
    <row r="1" spans="1:10" ht="14.1" customHeight="1" x14ac:dyDescent="0.2">
      <c r="A1" s="824" t="s">
        <v>1155</v>
      </c>
      <c r="E1" s="1240">
        <f>FST!E1</f>
        <v>0</v>
      </c>
      <c r="F1" s="1255"/>
      <c r="G1" s="1255"/>
      <c r="H1" s="1255"/>
      <c r="I1" s="1255"/>
      <c r="J1" s="1255"/>
    </row>
    <row r="2" spans="1:10" s="33" customFormat="1" ht="38.25" customHeight="1" x14ac:dyDescent="0.2">
      <c r="A2" s="824" t="s">
        <v>770</v>
      </c>
      <c r="B2" s="31"/>
      <c r="C2" s="32"/>
      <c r="D2" s="32"/>
      <c r="E2" s="1246" t="str">
        <f>FST!E2</f>
        <v/>
      </c>
      <c r="F2" s="1185"/>
      <c r="G2" s="1185"/>
      <c r="H2" s="1185"/>
      <c r="I2" s="1185"/>
      <c r="J2" s="1186"/>
    </row>
    <row r="3" spans="1:10" s="33" customFormat="1" ht="13.5" customHeight="1" x14ac:dyDescent="0.2">
      <c r="A3" s="824" t="s">
        <v>771</v>
      </c>
      <c r="B3" s="32"/>
      <c r="C3" s="32"/>
      <c r="D3" s="32"/>
      <c r="E3" s="1249">
        <f>FST!E3</f>
        <v>0</v>
      </c>
      <c r="F3" s="1177"/>
      <c r="G3" s="1177"/>
      <c r="H3" s="1177"/>
      <c r="I3" s="1177"/>
      <c r="J3" s="1177"/>
    </row>
    <row r="4" spans="1:10" s="33" customFormat="1" ht="12.6" customHeight="1" x14ac:dyDescent="0.2">
      <c r="A4" s="824" t="s">
        <v>773</v>
      </c>
      <c r="B4" s="32"/>
      <c r="C4" s="32"/>
      <c r="D4" s="32"/>
      <c r="E4" s="1251">
        <f>FST!E4</f>
        <v>0</v>
      </c>
      <c r="F4" s="1188"/>
      <c r="G4" s="1188"/>
      <c r="H4" s="1188"/>
      <c r="I4" s="1188"/>
      <c r="J4" s="1188"/>
    </row>
    <row r="5" spans="1:10" s="33" customFormat="1" ht="12.6" customHeight="1" x14ac:dyDescent="0.2">
      <c r="A5" s="825" t="s">
        <v>774</v>
      </c>
      <c r="B5" s="32"/>
      <c r="C5" s="32"/>
      <c r="D5" s="32"/>
      <c r="E5" s="1249">
        <f>FST!E5</f>
        <v>0</v>
      </c>
      <c r="F5" s="1177"/>
      <c r="G5" s="1177"/>
      <c r="H5" s="1177"/>
      <c r="I5" s="1177"/>
      <c r="J5" s="1177"/>
    </row>
    <row r="6" spans="1:10" s="33" customFormat="1" ht="12.6" customHeight="1" x14ac:dyDescent="0.2">
      <c r="A6" s="826" t="s">
        <v>775</v>
      </c>
      <c r="B6" s="32"/>
      <c r="C6" s="32"/>
      <c r="D6" s="32"/>
      <c r="E6" s="1253">
        <f>FST!E6</f>
        <v>0</v>
      </c>
      <c r="F6" s="1193"/>
      <c r="G6" s="1193"/>
      <c r="H6" s="1193"/>
      <c r="I6" s="1193"/>
      <c r="J6" s="1193"/>
    </row>
    <row r="7" spans="1:10" s="33" customFormat="1" ht="12.6" customHeight="1" x14ac:dyDescent="0.2">
      <c r="A7" s="67" t="s">
        <v>448</v>
      </c>
      <c r="B7" s="34"/>
    </row>
    <row r="8" spans="1:10" s="33" customFormat="1" ht="12.6" customHeight="1" x14ac:dyDescent="0.2">
      <c r="A8" s="827" t="s">
        <v>1734</v>
      </c>
      <c r="B8" s="34"/>
    </row>
    <row r="9" spans="1:10" s="33" customFormat="1" ht="6" customHeight="1" x14ac:dyDescent="0.2">
      <c r="A9" s="67"/>
      <c r="B9" s="34"/>
    </row>
    <row r="10" spans="1:10" s="33" customFormat="1" ht="26.25" customHeight="1" x14ac:dyDescent="0.2">
      <c r="A10" s="1263" t="s">
        <v>449</v>
      </c>
      <c r="B10" s="1264"/>
      <c r="C10" s="1264"/>
      <c r="D10" s="1264"/>
      <c r="E10" s="1264"/>
      <c r="F10" s="1264"/>
      <c r="G10" s="1264"/>
      <c r="H10" s="1264"/>
      <c r="I10" s="1264"/>
    </row>
    <row r="11" spans="1:10" s="33" customFormat="1" ht="6" customHeight="1" x14ac:dyDescent="0.2">
      <c r="A11" s="249"/>
      <c r="B11" s="35"/>
      <c r="C11" s="36"/>
      <c r="D11" s="36"/>
      <c r="E11" s="36"/>
      <c r="F11" s="36"/>
      <c r="G11" s="36"/>
      <c r="H11" s="36"/>
      <c r="I11" s="36"/>
      <c r="J11" s="36"/>
    </row>
    <row r="12" spans="1:10" s="67" customFormat="1" ht="12" customHeight="1" x14ac:dyDescent="0.2">
      <c r="B12" s="37"/>
    </row>
    <row r="13" spans="1:10" ht="14.1" customHeight="1" x14ac:dyDescent="0.2">
      <c r="A13" s="38" t="s">
        <v>443</v>
      </c>
      <c r="B13" s="38" t="s">
        <v>357</v>
      </c>
      <c r="C13" s="39"/>
    </row>
    <row r="14" spans="1:10" ht="14.1" customHeight="1" x14ac:dyDescent="0.2">
      <c r="B14" s="641" t="s">
        <v>1218</v>
      </c>
    </row>
    <row r="15" spans="1:10" ht="14.1" customHeight="1" x14ac:dyDescent="0.2">
      <c r="B15" s="641" t="s">
        <v>1041</v>
      </c>
    </row>
    <row r="16" spans="1:10" ht="14.1" customHeight="1" x14ac:dyDescent="0.2">
      <c r="A16" s="41"/>
    </row>
    <row r="17" spans="1:13" ht="14.1" customHeight="1" x14ac:dyDescent="0.2">
      <c r="A17" s="41"/>
      <c r="C17" s="760" t="s">
        <v>1052</v>
      </c>
      <c r="D17" s="42"/>
      <c r="E17" s="43"/>
      <c r="G17" s="40"/>
      <c r="J17" s="763" t="s">
        <v>645</v>
      </c>
    </row>
    <row r="18" spans="1:13" ht="14.1" customHeight="1" x14ac:dyDescent="0.2">
      <c r="A18" s="41"/>
      <c r="B18" s="44"/>
      <c r="C18" s="761" t="s">
        <v>1053</v>
      </c>
      <c r="D18" s="42"/>
      <c r="E18" s="41"/>
      <c r="F18" s="45"/>
      <c r="G18" s="40"/>
      <c r="H18" s="804" t="s">
        <v>1249</v>
      </c>
      <c r="J18" s="318">
        <f>FST!J28</f>
        <v>0</v>
      </c>
      <c r="K18" s="641" t="s">
        <v>647</v>
      </c>
    </row>
    <row r="19" spans="1:13" ht="14.1" customHeight="1" x14ac:dyDescent="0.2">
      <c r="A19" s="41"/>
      <c r="B19" s="762" t="s">
        <v>1054</v>
      </c>
      <c r="C19" s="54"/>
      <c r="D19" s="42"/>
      <c r="E19" s="41"/>
      <c r="F19" s="45"/>
      <c r="G19" s="40"/>
      <c r="H19" s="804" t="s">
        <v>1250</v>
      </c>
      <c r="J19" s="318">
        <f>FST!J75</f>
        <v>0</v>
      </c>
      <c r="K19" s="641" t="s">
        <v>647</v>
      </c>
    </row>
    <row r="20" spans="1:13" ht="14.1" customHeight="1" thickBot="1" x14ac:dyDescent="0.25">
      <c r="B20" s="762" t="s">
        <v>119</v>
      </c>
      <c r="C20" s="316"/>
      <c r="D20" s="700"/>
      <c r="E20" s="41"/>
      <c r="F20" s="45"/>
      <c r="H20" s="40" t="s">
        <v>11</v>
      </c>
      <c r="J20" s="47">
        <f>SUM(J18:J19)</f>
        <v>0</v>
      </c>
    </row>
    <row r="21" spans="1:13" ht="14.1" customHeight="1" thickTop="1" x14ac:dyDescent="0.2">
      <c r="B21" s="762" t="s">
        <v>1055</v>
      </c>
      <c r="C21" s="54"/>
      <c r="D21" s="760" t="s">
        <v>636</v>
      </c>
      <c r="E21" s="41"/>
      <c r="F21" s="45"/>
      <c r="J21" s="48"/>
      <c r="M21" s="46"/>
    </row>
    <row r="22" spans="1:13" ht="14.1" customHeight="1" x14ac:dyDescent="0.2">
      <c r="B22" s="762" t="s">
        <v>1056</v>
      </c>
      <c r="C22" s="54"/>
      <c r="D22" s="760" t="s">
        <v>636</v>
      </c>
      <c r="E22" s="1268" t="str">
        <f>IF(C24-J20=0," ","Reminder: Submit a TAB 1a cash reconciliation along with the HE-10 submission.")</f>
        <v xml:space="preserve"> </v>
      </c>
      <c r="F22" s="1268"/>
      <c r="G22" s="1268"/>
      <c r="H22" s="1268"/>
      <c r="I22" s="1268"/>
      <c r="J22" s="1268"/>
    </row>
    <row r="23" spans="1:13" ht="14.1" customHeight="1" x14ac:dyDescent="0.2">
      <c r="B23" s="762" t="s">
        <v>1057</v>
      </c>
      <c r="C23" s="54"/>
      <c r="D23" s="760" t="s">
        <v>637</v>
      </c>
      <c r="E23" s="1268"/>
      <c r="F23" s="1268"/>
      <c r="G23" s="1268"/>
      <c r="H23" s="1268"/>
      <c r="I23" s="1268"/>
      <c r="J23" s="1268"/>
    </row>
    <row r="24" spans="1:13" ht="14.1" customHeight="1" thickBot="1" x14ac:dyDescent="0.25">
      <c r="A24" s="1266" t="s">
        <v>1839</v>
      </c>
      <c r="B24" s="1267"/>
      <c r="C24" s="47">
        <f>C19-SUM(C21:C23)</f>
        <v>0</v>
      </c>
      <c r="D24" s="42"/>
      <c r="E24" s="1268"/>
      <c r="F24" s="1268"/>
      <c r="G24" s="1268"/>
      <c r="H24" s="1268"/>
      <c r="I24" s="1268"/>
      <c r="J24" s="1268"/>
    </row>
    <row r="25" spans="1:13" ht="14.1" customHeight="1" thickTop="1" x14ac:dyDescent="0.2">
      <c r="B25" s="44"/>
      <c r="D25" s="641" t="s">
        <v>1840</v>
      </c>
      <c r="E25" s="641"/>
      <c r="F25" s="45"/>
      <c r="J25" s="48"/>
    </row>
    <row r="26" spans="1:13" ht="13.5" customHeight="1" x14ac:dyDescent="0.2">
      <c r="B26" s="44"/>
      <c r="C26" s="763"/>
      <c r="D26" s="763" t="s">
        <v>1841</v>
      </c>
      <c r="E26" s="763"/>
      <c r="F26" s="45"/>
      <c r="H26" s="40"/>
      <c r="J26" s="1142">
        <f>C24-J20</f>
        <v>0</v>
      </c>
    </row>
    <row r="27" spans="1:13" ht="13.5" customHeight="1" x14ac:dyDescent="0.2">
      <c r="B27" s="44"/>
      <c r="J27" s="48"/>
    </row>
    <row r="28" spans="1:13" ht="63.75" customHeight="1" x14ac:dyDescent="0.2">
      <c r="A28" s="1260" t="s">
        <v>1219</v>
      </c>
      <c r="B28" s="1265"/>
      <c r="C28" s="1265"/>
      <c r="D28" s="1265"/>
      <c r="E28" s="1265"/>
      <c r="F28" s="1265"/>
      <c r="G28" s="1265"/>
      <c r="H28" s="1265"/>
      <c r="I28" s="1265"/>
      <c r="J28" s="1265"/>
    </row>
    <row r="29" spans="1:13" ht="14.1" customHeight="1" x14ac:dyDescent="0.2">
      <c r="B29" s="44"/>
      <c r="J29" s="48"/>
    </row>
    <row r="30" spans="1:13" ht="39" customHeight="1" x14ac:dyDescent="0.2">
      <c r="A30" s="1260" t="s">
        <v>1520</v>
      </c>
      <c r="B30" s="1265"/>
      <c r="C30" s="1265"/>
      <c r="D30" s="1265"/>
      <c r="E30" s="1265"/>
      <c r="F30" s="1265"/>
      <c r="G30" s="1265"/>
      <c r="H30" s="1265"/>
      <c r="I30" s="1265"/>
      <c r="J30" s="1265"/>
    </row>
    <row r="31" spans="1:13" ht="13.5" customHeight="1" x14ac:dyDescent="0.2">
      <c r="J31" s="48"/>
    </row>
    <row r="32" spans="1:13" ht="14.1" customHeight="1" x14ac:dyDescent="0.2">
      <c r="B32" s="44"/>
      <c r="J32" s="48" t="s">
        <v>645</v>
      </c>
    </row>
    <row r="33" spans="1:11" ht="14.1" customHeight="1" x14ac:dyDescent="0.2">
      <c r="A33" s="38" t="s">
        <v>529</v>
      </c>
      <c r="B33" s="38" t="s">
        <v>646</v>
      </c>
      <c r="I33" s="40" t="s">
        <v>503</v>
      </c>
      <c r="J33" s="318">
        <f>FST!J29</f>
        <v>0</v>
      </c>
      <c r="K33" s="38" t="s">
        <v>647</v>
      </c>
    </row>
    <row r="34" spans="1:11" ht="14.1" customHeight="1" x14ac:dyDescent="0.2">
      <c r="B34" s="38" t="s">
        <v>783</v>
      </c>
      <c r="I34" s="40" t="s">
        <v>503</v>
      </c>
      <c r="J34" s="317">
        <f>FST!J76</f>
        <v>0</v>
      </c>
      <c r="K34" s="38" t="s">
        <v>647</v>
      </c>
    </row>
    <row r="35" spans="1:11" ht="14.1" customHeight="1" thickBot="1" x14ac:dyDescent="0.25">
      <c r="C35" s="641" t="s">
        <v>951</v>
      </c>
      <c r="J35" s="57">
        <f>SUM(J33:J34)</f>
        <v>0</v>
      </c>
    </row>
    <row r="36" spans="1:11" ht="13.5" customHeight="1" thickTop="1" x14ac:dyDescent="0.2">
      <c r="J36" s="48"/>
    </row>
    <row r="37" spans="1:11" ht="14.1" customHeight="1" x14ac:dyDescent="0.2">
      <c r="A37" s="38" t="s">
        <v>530</v>
      </c>
      <c r="B37" s="38" t="s">
        <v>35</v>
      </c>
      <c r="J37" s="318">
        <f>FST!J79</f>
        <v>0</v>
      </c>
      <c r="K37" s="38" t="s">
        <v>647</v>
      </c>
    </row>
    <row r="38" spans="1:11" ht="14.1" customHeight="1" x14ac:dyDescent="0.2">
      <c r="B38" s="38" t="s">
        <v>262</v>
      </c>
      <c r="J38" s="56">
        <f>FST!J32</f>
        <v>0</v>
      </c>
      <c r="K38" s="38" t="s">
        <v>647</v>
      </c>
    </row>
    <row r="39" spans="1:11" ht="14.1" customHeight="1" x14ac:dyDescent="0.2">
      <c r="B39" s="38" t="s">
        <v>263</v>
      </c>
      <c r="J39" s="56">
        <f>FST!J81</f>
        <v>0</v>
      </c>
      <c r="K39" s="38" t="s">
        <v>647</v>
      </c>
    </row>
    <row r="40" spans="1:11" ht="42.75" customHeight="1" x14ac:dyDescent="0.2">
      <c r="B40" s="622" t="s">
        <v>119</v>
      </c>
      <c r="C40" s="1258" t="s">
        <v>1221</v>
      </c>
      <c r="D40" s="1259"/>
      <c r="E40" s="1259"/>
      <c r="F40" s="1259"/>
      <c r="G40" s="1259"/>
      <c r="J40" s="54"/>
      <c r="K40" s="618" t="s">
        <v>120</v>
      </c>
    </row>
    <row r="41" spans="1:11" ht="14.1" customHeight="1" x14ac:dyDescent="0.2">
      <c r="C41" s="38" t="s">
        <v>121</v>
      </c>
      <c r="J41" s="319">
        <f>SUM(J37:J39)-J40</f>
        <v>0</v>
      </c>
    </row>
    <row r="42" spans="1:11" ht="13.5" customHeight="1" x14ac:dyDescent="0.2">
      <c r="J42" s="316"/>
    </row>
    <row r="43" spans="1:11" ht="12.75" x14ac:dyDescent="0.2">
      <c r="B43" s="38" t="s">
        <v>405</v>
      </c>
      <c r="J43" s="317">
        <f>FST!J86</f>
        <v>0</v>
      </c>
      <c r="K43" s="38" t="s">
        <v>647</v>
      </c>
    </row>
    <row r="44" spans="1:11" ht="12.75" x14ac:dyDescent="0.2">
      <c r="B44" s="38" t="s">
        <v>406</v>
      </c>
      <c r="J44" s="56">
        <f>FST!J40</f>
        <v>0</v>
      </c>
      <c r="K44" s="38" t="s">
        <v>647</v>
      </c>
    </row>
    <row r="45" spans="1:11" ht="12.75" x14ac:dyDescent="0.2">
      <c r="B45" s="38" t="s">
        <v>407</v>
      </c>
      <c r="J45" s="56">
        <f>FST!J88</f>
        <v>0</v>
      </c>
      <c r="K45" s="38" t="s">
        <v>647</v>
      </c>
    </row>
    <row r="46" spans="1:11" ht="35.25" customHeight="1" x14ac:dyDescent="0.2">
      <c r="B46" s="622" t="s">
        <v>119</v>
      </c>
      <c r="C46" s="1258" t="s">
        <v>1221</v>
      </c>
      <c r="D46" s="1259"/>
      <c r="E46" s="1259"/>
      <c r="F46" s="1259"/>
      <c r="G46" s="1259"/>
      <c r="J46" s="54"/>
      <c r="K46" s="618" t="s">
        <v>120</v>
      </c>
    </row>
    <row r="47" spans="1:11" ht="16.5" customHeight="1" x14ac:dyDescent="0.2">
      <c r="C47" s="641" t="s">
        <v>1007</v>
      </c>
      <c r="J47" s="319">
        <f>SUM(J43:J45)-J46</f>
        <v>0</v>
      </c>
    </row>
    <row r="48" spans="1:11" ht="34.5" customHeight="1" thickBot="1" x14ac:dyDescent="0.25">
      <c r="C48" s="1260" t="s">
        <v>1154</v>
      </c>
      <c r="D48" s="1162"/>
      <c r="E48" s="1162"/>
      <c r="F48" s="1162"/>
      <c r="G48" s="1162"/>
      <c r="H48" s="1162"/>
      <c r="J48" s="57">
        <f>SUM(J41,J47)</f>
        <v>0</v>
      </c>
    </row>
    <row r="49" spans="1:10" ht="13.5" customHeight="1" thickTop="1" x14ac:dyDescent="0.2">
      <c r="J49" s="316"/>
    </row>
    <row r="50" spans="1:10" ht="14.1" customHeight="1" x14ac:dyDescent="0.2">
      <c r="A50" s="641" t="s">
        <v>1220</v>
      </c>
      <c r="B50" s="641" t="s">
        <v>1008</v>
      </c>
      <c r="J50" s="316"/>
    </row>
    <row r="51" spans="1:10" ht="14.1" customHeight="1" x14ac:dyDescent="0.2">
      <c r="B51" s="641" t="s">
        <v>1009</v>
      </c>
      <c r="J51" s="316"/>
    </row>
    <row r="52" spans="1:10" ht="14.1" customHeight="1" x14ac:dyDescent="0.2">
      <c r="B52" s="641" t="s">
        <v>1010</v>
      </c>
      <c r="J52" s="316"/>
    </row>
    <row r="53" spans="1:10" ht="14.1" customHeight="1" x14ac:dyDescent="0.2">
      <c r="B53" s="641" t="s">
        <v>1011</v>
      </c>
      <c r="J53" s="316"/>
    </row>
    <row r="54" spans="1:10" ht="14.1" customHeight="1" x14ac:dyDescent="0.2">
      <c r="B54" s="641" t="s">
        <v>1012</v>
      </c>
      <c r="J54" s="316"/>
    </row>
    <row r="56" spans="1:10" ht="14.1" customHeight="1" x14ac:dyDescent="0.2">
      <c r="A56" s="38" t="s">
        <v>144</v>
      </c>
      <c r="B56" s="38" t="s">
        <v>358</v>
      </c>
      <c r="I56" s="49"/>
      <c r="J56" s="48"/>
    </row>
    <row r="57" spans="1:10" ht="14.1" customHeight="1" x14ac:dyDescent="0.2">
      <c r="A57" s="41"/>
      <c r="B57" s="38" t="s">
        <v>504</v>
      </c>
      <c r="C57" s="50" t="s">
        <v>740</v>
      </c>
      <c r="I57" s="49"/>
      <c r="J57" s="48"/>
    </row>
    <row r="58" spans="1:10" ht="14.1" customHeight="1" x14ac:dyDescent="0.2">
      <c r="C58" s="38" t="s">
        <v>681</v>
      </c>
      <c r="D58" s="1261"/>
      <c r="E58" s="1262"/>
      <c r="F58" s="40" t="s">
        <v>503</v>
      </c>
      <c r="G58" s="54"/>
      <c r="H58" s="41"/>
      <c r="I58" s="51"/>
      <c r="J58" s="48"/>
    </row>
    <row r="59" spans="1:10" ht="14.1" customHeight="1" x14ac:dyDescent="0.2">
      <c r="C59" s="38" t="s">
        <v>681</v>
      </c>
      <c r="D59" s="1261"/>
      <c r="E59" s="1262"/>
      <c r="F59" s="40" t="s">
        <v>503</v>
      </c>
      <c r="G59" s="54"/>
      <c r="H59" s="41"/>
      <c r="I59" s="51"/>
      <c r="J59" s="48"/>
    </row>
    <row r="60" spans="1:10" ht="14.1" customHeight="1" x14ac:dyDescent="0.2">
      <c r="C60" s="38" t="s">
        <v>681</v>
      </c>
      <c r="D60" s="1261"/>
      <c r="E60" s="1262"/>
      <c r="F60" s="40" t="s">
        <v>503</v>
      </c>
      <c r="G60" s="54"/>
      <c r="H60" s="41"/>
      <c r="I60" s="51"/>
      <c r="J60" s="48"/>
    </row>
    <row r="61" spans="1:10" ht="14.1" customHeight="1" thickBot="1" x14ac:dyDescent="0.25">
      <c r="C61" s="38" t="s">
        <v>359</v>
      </c>
      <c r="F61" s="40" t="s">
        <v>503</v>
      </c>
      <c r="G61" s="57">
        <f>IF(SUM(G58:G60)=FST!J31,SUM(G58:G60),"ERROR")</f>
        <v>0</v>
      </c>
      <c r="H61" s="41"/>
      <c r="I61" s="52"/>
      <c r="J61" s="48"/>
    </row>
    <row r="62" spans="1:10" ht="14.1" customHeight="1" thickTop="1" x14ac:dyDescent="0.2">
      <c r="F62" s="416" t="s">
        <v>334</v>
      </c>
      <c r="G62" s="417">
        <f>SUM(G58:G60)</f>
        <v>0</v>
      </c>
      <c r="H62" s="41"/>
      <c r="I62" s="51"/>
      <c r="J62" s="48"/>
    </row>
    <row r="63" spans="1:10" ht="14.1" customHeight="1" x14ac:dyDescent="0.2">
      <c r="F63" s="416" t="s">
        <v>689</v>
      </c>
      <c r="G63" s="417">
        <f>FST!J31-'TAB 1A, GASBS 3'!G62</f>
        <v>0</v>
      </c>
      <c r="H63" s="41"/>
      <c r="I63" s="51"/>
      <c r="J63" s="48"/>
    </row>
    <row r="64" spans="1:10" ht="14.1" customHeight="1" x14ac:dyDescent="0.2">
      <c r="A64" s="41"/>
      <c r="B64" s="38" t="s">
        <v>505</v>
      </c>
      <c r="C64" s="50" t="s">
        <v>45</v>
      </c>
      <c r="I64" s="49"/>
      <c r="J64" s="48"/>
    </row>
    <row r="65" spans="2:10" ht="14.1" customHeight="1" x14ac:dyDescent="0.2">
      <c r="C65" s="38" t="s">
        <v>681</v>
      </c>
      <c r="D65" s="1261"/>
      <c r="E65" s="1262"/>
      <c r="F65" s="40" t="s">
        <v>503</v>
      </c>
      <c r="G65" s="54"/>
      <c r="H65" s="41"/>
      <c r="I65" s="51"/>
      <c r="J65" s="48"/>
    </row>
    <row r="66" spans="2:10" ht="14.1" customHeight="1" x14ac:dyDescent="0.2">
      <c r="C66" s="38" t="s">
        <v>681</v>
      </c>
      <c r="D66" s="1261"/>
      <c r="E66" s="1262"/>
      <c r="F66" s="40" t="s">
        <v>503</v>
      </c>
      <c r="G66" s="54"/>
      <c r="H66" s="41"/>
      <c r="I66" s="51"/>
      <c r="J66" s="48"/>
    </row>
    <row r="67" spans="2:10" ht="14.1" customHeight="1" x14ac:dyDescent="0.2">
      <c r="C67" s="38" t="s">
        <v>681</v>
      </c>
      <c r="D67" s="1261"/>
      <c r="E67" s="1262"/>
      <c r="F67" s="40" t="s">
        <v>503</v>
      </c>
      <c r="G67" s="54"/>
      <c r="H67" s="41"/>
      <c r="I67" s="51"/>
      <c r="J67" s="48"/>
    </row>
    <row r="68" spans="2:10" ht="14.1" customHeight="1" thickBot="1" x14ac:dyDescent="0.25">
      <c r="C68" s="38" t="s">
        <v>322</v>
      </c>
      <c r="F68" s="40" t="s">
        <v>503</v>
      </c>
      <c r="G68" s="57">
        <f>IF(SUM(G65:G67)=FST!J80,SUM(G65:G67),"ERROR")</f>
        <v>0</v>
      </c>
      <c r="H68" s="41"/>
      <c r="I68" s="52"/>
      <c r="J68" s="48"/>
    </row>
    <row r="69" spans="2:10" ht="14.1" customHeight="1" thickTop="1" x14ac:dyDescent="0.2">
      <c r="F69" s="416" t="s">
        <v>334</v>
      </c>
      <c r="G69" s="417">
        <f>SUM(G65:G67)</f>
        <v>0</v>
      </c>
      <c r="H69" s="41"/>
      <c r="I69" s="51"/>
      <c r="J69" s="48"/>
    </row>
    <row r="70" spans="2:10" ht="14.1" customHeight="1" x14ac:dyDescent="0.2">
      <c r="F70" s="416" t="s">
        <v>689</v>
      </c>
      <c r="G70" s="417">
        <f>FST!J80-'TAB 1A, GASBS 3'!G69</f>
        <v>0</v>
      </c>
      <c r="H70" s="41"/>
      <c r="I70" s="51"/>
      <c r="J70" s="48"/>
    </row>
    <row r="71" spans="2:10" ht="14.1" customHeight="1" x14ac:dyDescent="0.2">
      <c r="B71" s="38" t="s">
        <v>531</v>
      </c>
      <c r="C71" s="50" t="s">
        <v>741</v>
      </c>
      <c r="G71" s="53"/>
      <c r="H71" s="41"/>
      <c r="I71" s="51"/>
      <c r="J71" s="48"/>
    </row>
    <row r="72" spans="2:10" ht="14.1" customHeight="1" x14ac:dyDescent="0.2">
      <c r="C72" s="38" t="s">
        <v>681</v>
      </c>
      <c r="D72" s="1256" t="s">
        <v>1272</v>
      </c>
      <c r="E72" s="1257"/>
      <c r="F72" s="40" t="s">
        <v>503</v>
      </c>
      <c r="G72" s="54"/>
      <c r="H72" s="41"/>
      <c r="I72" s="51"/>
      <c r="J72" s="48"/>
    </row>
    <row r="73" spans="2:10" ht="14.1" customHeight="1" x14ac:dyDescent="0.2">
      <c r="C73" s="38" t="s">
        <v>681</v>
      </c>
      <c r="D73" s="1261"/>
      <c r="E73" s="1262"/>
      <c r="F73" s="40" t="s">
        <v>503</v>
      </c>
      <c r="G73" s="54"/>
      <c r="H73" s="41"/>
      <c r="I73" s="51"/>
      <c r="J73" s="48"/>
    </row>
    <row r="74" spans="2:10" ht="14.1" customHeight="1" x14ac:dyDescent="0.2">
      <c r="C74" s="38" t="s">
        <v>681</v>
      </c>
      <c r="D74" s="1261"/>
      <c r="E74" s="1262"/>
      <c r="F74" s="40" t="s">
        <v>503</v>
      </c>
      <c r="G74" s="54"/>
      <c r="H74" s="41"/>
      <c r="I74" s="51"/>
      <c r="J74" s="48"/>
    </row>
    <row r="75" spans="2:10" ht="14.1" customHeight="1" thickBot="1" x14ac:dyDescent="0.25">
      <c r="C75" s="38" t="s">
        <v>323</v>
      </c>
      <c r="F75" s="40" t="s">
        <v>503</v>
      </c>
      <c r="G75" s="57">
        <f>IF(SUM(G72:G74)=FST!J39,SUM(G72:G74),"ERROR")</f>
        <v>0</v>
      </c>
      <c r="H75" s="41"/>
      <c r="I75" s="52"/>
      <c r="J75" s="48"/>
    </row>
    <row r="76" spans="2:10" ht="14.1" customHeight="1" thickTop="1" x14ac:dyDescent="0.2">
      <c r="F76" s="416" t="s">
        <v>334</v>
      </c>
      <c r="G76" s="417">
        <f>SUM(G72:G74)</f>
        <v>0</v>
      </c>
      <c r="H76" s="41"/>
      <c r="I76" s="51"/>
      <c r="J76" s="48"/>
    </row>
    <row r="77" spans="2:10" ht="14.1" customHeight="1" x14ac:dyDescent="0.2">
      <c r="F77" s="416" t="s">
        <v>689</v>
      </c>
      <c r="G77" s="417">
        <f>FST!J39-'TAB 1A, GASBS 3'!G76</f>
        <v>0</v>
      </c>
      <c r="H77" s="41"/>
      <c r="I77" s="51"/>
      <c r="J77" s="48"/>
    </row>
    <row r="78" spans="2:10" ht="14.1" customHeight="1" x14ac:dyDescent="0.2">
      <c r="B78" s="38" t="s">
        <v>532</v>
      </c>
      <c r="C78" s="50" t="s">
        <v>742</v>
      </c>
      <c r="G78" s="53"/>
      <c r="H78" s="41"/>
      <c r="I78" s="51"/>
      <c r="J78" s="48"/>
    </row>
    <row r="79" spans="2:10" ht="14.1" customHeight="1" x14ac:dyDescent="0.2">
      <c r="C79" s="38" t="s">
        <v>681</v>
      </c>
      <c r="D79" s="1256" t="s">
        <v>1273</v>
      </c>
      <c r="E79" s="1257"/>
      <c r="F79" s="40" t="s">
        <v>503</v>
      </c>
      <c r="G79" s="54"/>
      <c r="H79" s="41"/>
      <c r="I79" s="51"/>
      <c r="J79" s="48"/>
    </row>
    <row r="80" spans="2:10" ht="14.1" customHeight="1" x14ac:dyDescent="0.2">
      <c r="C80" s="38" t="s">
        <v>681</v>
      </c>
      <c r="D80" s="1261"/>
      <c r="E80" s="1262"/>
      <c r="F80" s="40" t="s">
        <v>503</v>
      </c>
      <c r="G80" s="54"/>
      <c r="H80" s="41"/>
      <c r="I80" s="51"/>
      <c r="J80" s="48"/>
    </row>
    <row r="81" spans="1:10" ht="14.1" customHeight="1" x14ac:dyDescent="0.2">
      <c r="C81" s="38" t="s">
        <v>681</v>
      </c>
      <c r="D81" s="1261"/>
      <c r="E81" s="1262"/>
      <c r="F81" s="40" t="s">
        <v>503</v>
      </c>
      <c r="G81" s="54"/>
      <c r="H81" s="41"/>
      <c r="I81" s="51"/>
      <c r="J81" s="48"/>
    </row>
    <row r="82" spans="1:10" ht="14.1" customHeight="1" thickBot="1" x14ac:dyDescent="0.25">
      <c r="C82" s="38" t="s">
        <v>507</v>
      </c>
      <c r="F82" s="40" t="s">
        <v>503</v>
      </c>
      <c r="G82" s="57">
        <f>IF(SUM(G79:G81)=FST!J87,SUM(G79:G81),"ERROR")</f>
        <v>0</v>
      </c>
      <c r="H82" s="41"/>
      <c r="I82" s="52"/>
      <c r="J82" s="48"/>
    </row>
    <row r="83" spans="1:10" ht="14.1" customHeight="1" thickTop="1" x14ac:dyDescent="0.2">
      <c r="F83" s="416" t="s">
        <v>334</v>
      </c>
      <c r="G83" s="418">
        <f>SUM(G79:G81)</f>
        <v>0</v>
      </c>
    </row>
    <row r="84" spans="1:10" ht="14.1" customHeight="1" x14ac:dyDescent="0.2">
      <c r="F84" s="416" t="s">
        <v>689</v>
      </c>
      <c r="G84" s="418">
        <f>FST!J87-'TAB 1A, GASBS 3'!G83</f>
        <v>0</v>
      </c>
    </row>
    <row r="86" spans="1:10" ht="14.1" customHeight="1" x14ac:dyDescent="0.2">
      <c r="A86" s="38" t="s">
        <v>450</v>
      </c>
      <c r="B86" s="38" t="s">
        <v>504</v>
      </c>
      <c r="C86" s="641" t="s">
        <v>1277</v>
      </c>
    </row>
    <row r="87" spans="1:10" ht="14.1" customHeight="1" x14ac:dyDescent="0.2">
      <c r="E87" s="641" t="s">
        <v>1274</v>
      </c>
      <c r="G87" s="760" t="s">
        <v>1275</v>
      </c>
      <c r="J87" s="760" t="s">
        <v>1276</v>
      </c>
    </row>
    <row r="88" spans="1:10" ht="14.1" customHeight="1" x14ac:dyDescent="0.2">
      <c r="E88" s="844"/>
      <c r="G88" s="55"/>
      <c r="J88" s="55"/>
    </row>
    <row r="89" spans="1:10" ht="14.1" customHeight="1" x14ac:dyDescent="0.2">
      <c r="E89" s="844"/>
      <c r="G89" s="55"/>
      <c r="J89" s="55"/>
    </row>
    <row r="90" spans="1:10" ht="14.1" customHeight="1" x14ac:dyDescent="0.2">
      <c r="E90" s="844"/>
      <c r="G90" s="55"/>
      <c r="J90" s="55"/>
    </row>
    <row r="91" spans="1:10" ht="14.1" customHeight="1" x14ac:dyDescent="0.2">
      <c r="E91" s="844"/>
      <c r="G91" s="55"/>
      <c r="J91" s="55"/>
    </row>
    <row r="92" spans="1:10" ht="14.1" customHeight="1" x14ac:dyDescent="0.2">
      <c r="E92" s="844"/>
      <c r="G92" s="55"/>
      <c r="J92" s="55"/>
    </row>
    <row r="93" spans="1:10" ht="14.1" customHeight="1" x14ac:dyDescent="0.2">
      <c r="E93" s="844"/>
      <c r="G93" s="55"/>
      <c r="J93" s="55"/>
    </row>
    <row r="94" spans="1:10" ht="14.1" customHeight="1" x14ac:dyDescent="0.2">
      <c r="E94" s="844"/>
      <c r="G94" s="55"/>
      <c r="J94" s="55"/>
    </row>
    <row r="95" spans="1:10" ht="14.1" customHeight="1" x14ac:dyDescent="0.2">
      <c r="E95" s="844"/>
      <c r="G95" s="55"/>
      <c r="J95" s="55"/>
    </row>
    <row r="96" spans="1:10" ht="14.1" customHeight="1" x14ac:dyDescent="0.2">
      <c r="E96" s="844"/>
      <c r="G96" s="55"/>
      <c r="J96" s="55"/>
    </row>
    <row r="97" spans="5:10" ht="14.1" customHeight="1" x14ac:dyDescent="0.2">
      <c r="E97" s="844"/>
      <c r="G97" s="55"/>
      <c r="J97" s="55"/>
    </row>
    <row r="98" spans="5:10" ht="14.1" customHeight="1" x14ac:dyDescent="0.2">
      <c r="E98" s="844"/>
      <c r="G98" s="55"/>
      <c r="J98" s="55"/>
    </row>
    <row r="99" spans="5:10" ht="14.1" customHeight="1" x14ac:dyDescent="0.2">
      <c r="E99" s="844"/>
      <c r="G99" s="55"/>
      <c r="J99" s="55"/>
    </row>
    <row r="100" spans="5:10" ht="14.1" customHeight="1" x14ac:dyDescent="0.2">
      <c r="E100" s="844"/>
      <c r="G100" s="55"/>
      <c r="J100" s="55"/>
    </row>
    <row r="101" spans="5:10" ht="14.1" customHeight="1" x14ac:dyDescent="0.2">
      <c r="E101" s="844"/>
      <c r="G101" s="55"/>
      <c r="J101" s="55"/>
    </row>
    <row r="102" spans="5:10" ht="14.1" customHeight="1" x14ac:dyDescent="0.2">
      <c r="E102" s="844"/>
      <c r="G102" s="55"/>
      <c r="J102" s="55"/>
    </row>
    <row r="103" spans="5:10" ht="14.1" customHeight="1" x14ac:dyDescent="0.2">
      <c r="E103" s="844"/>
      <c r="G103" s="55"/>
      <c r="J103" s="55"/>
    </row>
    <row r="104" spans="5:10" ht="14.1" customHeight="1" x14ac:dyDescent="0.2">
      <c r="E104" s="844"/>
      <c r="G104" s="55"/>
      <c r="J104" s="55"/>
    </row>
    <row r="105" spans="5:10" ht="14.1" customHeight="1" x14ac:dyDescent="0.2">
      <c r="E105" s="844"/>
      <c r="G105" s="55"/>
      <c r="J105" s="55"/>
    </row>
    <row r="106" spans="5:10" ht="14.1" customHeight="1" x14ac:dyDescent="0.2">
      <c r="E106" s="844"/>
      <c r="G106" s="55"/>
      <c r="J106" s="55"/>
    </row>
    <row r="107" spans="5:10" ht="14.1" customHeight="1" x14ac:dyDescent="0.2">
      <c r="E107" s="844"/>
      <c r="G107" s="55"/>
      <c r="J107" s="55"/>
    </row>
    <row r="108" spans="5:10" ht="14.1" customHeight="1" x14ac:dyDescent="0.2">
      <c r="E108" s="844"/>
      <c r="G108" s="55"/>
      <c r="J108" s="55"/>
    </row>
    <row r="109" spans="5:10" ht="14.1" customHeight="1" x14ac:dyDescent="0.2">
      <c r="E109" s="844"/>
      <c r="G109" s="55"/>
      <c r="J109" s="55"/>
    </row>
    <row r="110" spans="5:10" ht="14.1" customHeight="1" x14ac:dyDescent="0.2">
      <c r="E110" s="844"/>
      <c r="G110" s="55"/>
      <c r="J110" s="55"/>
    </row>
    <row r="111" spans="5:10" ht="14.1" customHeight="1" x14ac:dyDescent="0.2">
      <c r="E111" s="844"/>
      <c r="G111" s="55"/>
      <c r="J111" s="55"/>
    </row>
    <row r="112" spans="5:10" ht="14.1" customHeight="1" x14ac:dyDescent="0.2">
      <c r="E112" s="844"/>
      <c r="G112" s="55"/>
      <c r="J112" s="55"/>
    </row>
    <row r="113" spans="1:10" ht="14.1" customHeight="1" thickBot="1" x14ac:dyDescent="0.25">
      <c r="E113" s="38" t="s">
        <v>344</v>
      </c>
      <c r="G113" s="47">
        <f>IF(SUM(G88:G112)=FST!J30,SUM(G88:G112),"ERROR")</f>
        <v>0</v>
      </c>
      <c r="J113" s="47">
        <f>IF(SUM(J88:J112)=G72,SUM(J88:J112),"ERROR")</f>
        <v>0</v>
      </c>
    </row>
    <row r="114" spans="1:10" ht="14.1" customHeight="1" thickTop="1" x14ac:dyDescent="0.2">
      <c r="F114" s="416" t="s">
        <v>334</v>
      </c>
      <c r="G114" s="418">
        <f>SUM(G88:G112)</f>
        <v>0</v>
      </c>
      <c r="J114" s="418">
        <f>SUM(J88:J112)</f>
        <v>0</v>
      </c>
    </row>
    <row r="115" spans="1:10" ht="14.1" customHeight="1" x14ac:dyDescent="0.2">
      <c r="F115" s="416" t="s">
        <v>689</v>
      </c>
      <c r="G115" s="418">
        <f>FST!J30-'TAB 1A, GASBS 3'!G114</f>
        <v>0</v>
      </c>
      <c r="J115" s="418">
        <f>G72-J114</f>
        <v>0</v>
      </c>
    </row>
    <row r="116" spans="1:10" ht="13.5" customHeight="1" x14ac:dyDescent="0.2">
      <c r="A116" s="38" t="s">
        <v>450</v>
      </c>
      <c r="B116" s="38" t="s">
        <v>505</v>
      </c>
      <c r="C116" s="641" t="s">
        <v>1278</v>
      </c>
    </row>
    <row r="117" spans="1:10" ht="14.1" customHeight="1" x14ac:dyDescent="0.2">
      <c r="E117" s="641" t="s">
        <v>1274</v>
      </c>
      <c r="G117" s="760" t="s">
        <v>1275</v>
      </c>
      <c r="J117" s="760" t="s">
        <v>1276</v>
      </c>
    </row>
    <row r="118" spans="1:10" ht="14.1" customHeight="1" x14ac:dyDescent="0.2">
      <c r="E118" s="844"/>
      <c r="G118" s="55"/>
      <c r="J118" s="55"/>
    </row>
    <row r="119" spans="1:10" ht="14.1" customHeight="1" x14ac:dyDescent="0.2">
      <c r="E119" s="844"/>
      <c r="G119" s="55"/>
      <c r="J119" s="55"/>
    </row>
    <row r="120" spans="1:10" ht="14.1" customHeight="1" x14ac:dyDescent="0.2">
      <c r="E120" s="844"/>
      <c r="G120" s="55"/>
      <c r="J120" s="55"/>
    </row>
    <row r="121" spans="1:10" ht="14.1" customHeight="1" x14ac:dyDescent="0.2">
      <c r="E121" s="844"/>
      <c r="G121" s="55"/>
      <c r="J121" s="55"/>
    </row>
    <row r="122" spans="1:10" ht="14.1" customHeight="1" x14ac:dyDescent="0.2">
      <c r="E122" s="844"/>
      <c r="G122" s="55"/>
      <c r="J122" s="55"/>
    </row>
    <row r="123" spans="1:10" ht="14.1" customHeight="1" x14ac:dyDescent="0.2">
      <c r="E123" s="844"/>
      <c r="G123" s="55"/>
      <c r="J123" s="55"/>
    </row>
    <row r="124" spans="1:10" ht="14.1" customHeight="1" x14ac:dyDescent="0.2">
      <c r="E124" s="844"/>
      <c r="G124" s="55"/>
      <c r="J124" s="55"/>
    </row>
    <row r="125" spans="1:10" ht="14.1" customHeight="1" x14ac:dyDescent="0.2">
      <c r="E125" s="844"/>
      <c r="G125" s="55"/>
      <c r="J125" s="55"/>
    </row>
    <row r="126" spans="1:10" ht="14.1" customHeight="1" x14ac:dyDescent="0.2">
      <c r="E126" s="844"/>
      <c r="G126" s="55"/>
      <c r="J126" s="55"/>
    </row>
    <row r="127" spans="1:10" ht="14.1" customHeight="1" x14ac:dyDescent="0.2">
      <c r="E127" s="844"/>
      <c r="G127" s="55"/>
      <c r="J127" s="55"/>
    </row>
    <row r="128" spans="1:10" ht="14.1" customHeight="1" x14ac:dyDescent="0.2">
      <c r="E128" s="844"/>
      <c r="G128" s="55"/>
      <c r="J128" s="55"/>
    </row>
    <row r="129" spans="5:10" ht="14.1" customHeight="1" x14ac:dyDescent="0.2">
      <c r="E129" s="844"/>
      <c r="G129" s="55"/>
      <c r="J129" s="55"/>
    </row>
    <row r="130" spans="5:10" ht="14.1" customHeight="1" x14ac:dyDescent="0.2">
      <c r="E130" s="844"/>
      <c r="G130" s="55"/>
      <c r="J130" s="55"/>
    </row>
    <row r="131" spans="5:10" ht="14.1" customHeight="1" x14ac:dyDescent="0.2">
      <c r="E131" s="844"/>
      <c r="G131" s="55"/>
      <c r="J131" s="55"/>
    </row>
    <row r="132" spans="5:10" ht="14.1" customHeight="1" x14ac:dyDescent="0.2">
      <c r="E132" s="844"/>
      <c r="G132" s="55"/>
      <c r="J132" s="55"/>
    </row>
    <row r="133" spans="5:10" ht="14.1" customHeight="1" x14ac:dyDescent="0.2">
      <c r="E133" s="844"/>
      <c r="G133" s="55"/>
      <c r="J133" s="55"/>
    </row>
    <row r="134" spans="5:10" ht="14.1" customHeight="1" x14ac:dyDescent="0.2">
      <c r="E134" s="844"/>
      <c r="G134" s="55"/>
      <c r="J134" s="55"/>
    </row>
    <row r="135" spans="5:10" ht="14.1" customHeight="1" x14ac:dyDescent="0.2">
      <c r="E135" s="844"/>
      <c r="G135" s="55"/>
      <c r="J135" s="55"/>
    </row>
    <row r="136" spans="5:10" ht="14.1" customHeight="1" x14ac:dyDescent="0.2">
      <c r="E136" s="844"/>
      <c r="G136" s="55"/>
      <c r="J136" s="55"/>
    </row>
    <row r="137" spans="5:10" ht="14.1" customHeight="1" x14ac:dyDescent="0.2">
      <c r="E137" s="844"/>
      <c r="G137" s="55"/>
      <c r="J137" s="55"/>
    </row>
    <row r="138" spans="5:10" ht="14.1" customHeight="1" x14ac:dyDescent="0.2">
      <c r="E138" s="844"/>
      <c r="G138" s="55"/>
      <c r="J138" s="55"/>
    </row>
    <row r="139" spans="5:10" ht="14.1" customHeight="1" x14ac:dyDescent="0.2">
      <c r="E139" s="844"/>
      <c r="G139" s="55"/>
      <c r="J139" s="55"/>
    </row>
    <row r="140" spans="5:10" ht="14.1" customHeight="1" x14ac:dyDescent="0.2">
      <c r="E140" s="844"/>
      <c r="G140" s="55"/>
      <c r="J140" s="55"/>
    </row>
    <row r="141" spans="5:10" ht="14.1" customHeight="1" x14ac:dyDescent="0.2">
      <c r="E141" s="844"/>
      <c r="G141" s="55"/>
      <c r="J141" s="55"/>
    </row>
    <row r="142" spans="5:10" ht="14.1" customHeight="1" x14ac:dyDescent="0.2">
      <c r="E142" s="844"/>
      <c r="G142" s="55"/>
      <c r="J142" s="55"/>
    </row>
    <row r="143" spans="5:10" ht="14.1" customHeight="1" thickBot="1" x14ac:dyDescent="0.25">
      <c r="E143" s="38" t="s">
        <v>344</v>
      </c>
      <c r="G143" s="47">
        <f>IF(SUM(G118:G142)=FST!J77,SUM(G118:G142),"ERROR")</f>
        <v>0</v>
      </c>
      <c r="J143" s="47">
        <f>IF(SUM(J118:J142)=G79,SUM(J118:J142),"ERROR")</f>
        <v>0</v>
      </c>
    </row>
    <row r="144" spans="5:10" ht="14.1" customHeight="1" thickTop="1" x14ac:dyDescent="0.2">
      <c r="F144" s="416" t="s">
        <v>334</v>
      </c>
      <c r="G144" s="418">
        <f>SUM(G118:G142)</f>
        <v>0</v>
      </c>
      <c r="J144" s="418">
        <f>SUM(J118:J142)</f>
        <v>0</v>
      </c>
    </row>
    <row r="145" spans="1:10" ht="14.1" customHeight="1" x14ac:dyDescent="0.2">
      <c r="F145" s="416" t="s">
        <v>689</v>
      </c>
      <c r="G145" s="418">
        <f>FST!J77-'TAB 1A, GASBS 3'!G144</f>
        <v>0</v>
      </c>
      <c r="J145" s="418">
        <f>G79-J144</f>
        <v>0</v>
      </c>
    </row>
    <row r="147" spans="1:10" ht="14.1" customHeight="1" x14ac:dyDescent="0.2">
      <c r="A147" s="38" t="s">
        <v>175</v>
      </c>
      <c r="B147" s="38" t="s">
        <v>504</v>
      </c>
      <c r="C147" s="38" t="s">
        <v>754</v>
      </c>
    </row>
    <row r="148" spans="1:10" ht="14.1" customHeight="1" x14ac:dyDescent="0.2">
      <c r="E148" s="38" t="s">
        <v>218</v>
      </c>
      <c r="G148" s="42" t="s">
        <v>98</v>
      </c>
    </row>
    <row r="149" spans="1:10" ht="14.1" customHeight="1" x14ac:dyDescent="0.2">
      <c r="E149" s="844"/>
      <c r="G149" s="55"/>
    </row>
    <row r="150" spans="1:10" ht="14.1" customHeight="1" x14ac:dyDescent="0.2">
      <c r="E150" s="844"/>
      <c r="G150" s="55"/>
    </row>
    <row r="151" spans="1:10" ht="14.1" customHeight="1" x14ac:dyDescent="0.2">
      <c r="E151" s="844"/>
      <c r="G151" s="55"/>
    </row>
    <row r="152" spans="1:10" ht="14.1" customHeight="1" x14ac:dyDescent="0.2">
      <c r="E152" s="844"/>
      <c r="G152" s="55"/>
    </row>
    <row r="153" spans="1:10" ht="14.1" customHeight="1" x14ac:dyDescent="0.2">
      <c r="E153" s="844"/>
      <c r="G153" s="55"/>
    </row>
    <row r="154" spans="1:10" ht="14.1" customHeight="1" x14ac:dyDescent="0.2">
      <c r="E154" s="844"/>
      <c r="G154" s="55"/>
    </row>
    <row r="155" spans="1:10" ht="14.1" customHeight="1" x14ac:dyDescent="0.2">
      <c r="E155" s="844"/>
      <c r="G155" s="55"/>
    </row>
    <row r="156" spans="1:10" ht="14.1" customHeight="1" x14ac:dyDescent="0.2">
      <c r="E156" s="844"/>
      <c r="G156" s="55"/>
    </row>
    <row r="157" spans="1:10" ht="14.1" customHeight="1" x14ac:dyDescent="0.2">
      <c r="E157" s="844"/>
      <c r="G157" s="55"/>
    </row>
    <row r="158" spans="1:10" ht="14.1" customHeight="1" x14ac:dyDescent="0.2">
      <c r="E158" s="844"/>
      <c r="G158" s="55"/>
    </row>
    <row r="159" spans="1:10" ht="14.1" customHeight="1" x14ac:dyDescent="0.2">
      <c r="E159" s="844"/>
      <c r="G159" s="55"/>
    </row>
    <row r="160" spans="1:10" ht="14.1" customHeight="1" x14ac:dyDescent="0.2">
      <c r="E160" s="844"/>
      <c r="G160" s="55"/>
    </row>
    <row r="161" spans="5:7" ht="14.1" customHeight="1" x14ac:dyDescent="0.2">
      <c r="E161" s="844"/>
      <c r="G161" s="55"/>
    </row>
    <row r="162" spans="5:7" ht="14.1" customHeight="1" x14ac:dyDescent="0.2">
      <c r="E162" s="844"/>
      <c r="G162" s="55"/>
    </row>
    <row r="163" spans="5:7" ht="14.1" customHeight="1" x14ac:dyDescent="0.2">
      <c r="E163" s="844"/>
      <c r="G163" s="55"/>
    </row>
    <row r="164" spans="5:7" ht="14.1" customHeight="1" x14ac:dyDescent="0.2">
      <c r="E164" s="844"/>
      <c r="G164" s="55"/>
    </row>
    <row r="165" spans="5:7" ht="14.1" customHeight="1" x14ac:dyDescent="0.2">
      <c r="E165" s="844"/>
      <c r="G165" s="55"/>
    </row>
    <row r="166" spans="5:7" ht="14.1" customHeight="1" x14ac:dyDescent="0.2">
      <c r="E166" s="844"/>
      <c r="G166" s="55"/>
    </row>
    <row r="167" spans="5:7" ht="14.1" customHeight="1" x14ac:dyDescent="0.2">
      <c r="E167" s="844"/>
      <c r="G167" s="55"/>
    </row>
    <row r="168" spans="5:7" ht="14.1" customHeight="1" x14ac:dyDescent="0.2">
      <c r="E168" s="844"/>
      <c r="G168" s="55"/>
    </row>
    <row r="169" spans="5:7" ht="14.1" customHeight="1" x14ac:dyDescent="0.2">
      <c r="E169" s="844"/>
      <c r="G169" s="55"/>
    </row>
    <row r="170" spans="5:7" ht="14.1" customHeight="1" x14ac:dyDescent="0.2">
      <c r="E170" s="844"/>
      <c r="G170" s="55"/>
    </row>
    <row r="171" spans="5:7" ht="14.1" customHeight="1" x14ac:dyDescent="0.2">
      <c r="E171" s="844"/>
      <c r="G171" s="55"/>
    </row>
    <row r="172" spans="5:7" ht="14.1" customHeight="1" x14ac:dyDescent="0.2">
      <c r="E172" s="844"/>
      <c r="G172" s="55"/>
    </row>
    <row r="173" spans="5:7" ht="14.1" customHeight="1" x14ac:dyDescent="0.2">
      <c r="E173" s="844"/>
      <c r="G173" s="55"/>
    </row>
    <row r="174" spans="5:7" ht="14.1" customHeight="1" thickBot="1" x14ac:dyDescent="0.25">
      <c r="E174" s="38" t="s">
        <v>344</v>
      </c>
      <c r="G174" s="47">
        <f>IF(SUM(G149:G173)=FST!J78,SUM(G149:G173),"ERROR")</f>
        <v>0</v>
      </c>
    </row>
    <row r="175" spans="5:7" ht="14.1" customHeight="1" thickTop="1" x14ac:dyDescent="0.2">
      <c r="F175" s="416" t="s">
        <v>334</v>
      </c>
      <c r="G175" s="418">
        <f>SUM(G149:G173)</f>
        <v>0</v>
      </c>
    </row>
    <row r="176" spans="5:7" ht="14.1" customHeight="1" x14ac:dyDescent="0.2">
      <c r="F176" s="416" t="s">
        <v>689</v>
      </c>
      <c r="G176" s="418">
        <f>FST!J78-'TAB 1A, GASBS 3'!G175</f>
        <v>0</v>
      </c>
    </row>
    <row r="178" spans="1:9" s="325" customFormat="1" ht="14.1" customHeight="1" x14ac:dyDescent="0.2">
      <c r="A178" s="38" t="s">
        <v>219</v>
      </c>
      <c r="B178" s="38" t="s">
        <v>505</v>
      </c>
      <c r="C178" s="641" t="s">
        <v>835</v>
      </c>
      <c r="D178" s="38"/>
      <c r="E178" s="38"/>
      <c r="F178" s="326"/>
      <c r="I178" s="326"/>
    </row>
    <row r="179" spans="1:9" s="325" customFormat="1" ht="40.5" customHeight="1" x14ac:dyDescent="0.2">
      <c r="E179" s="990" t="s">
        <v>1401</v>
      </c>
      <c r="F179" s="40"/>
      <c r="G179" s="42" t="s">
        <v>98</v>
      </c>
      <c r="I179" s="326"/>
    </row>
    <row r="180" spans="1:9" s="325" customFormat="1" ht="14.1" customHeight="1" x14ac:dyDescent="0.2">
      <c r="E180" s="844"/>
      <c r="F180" s="40"/>
      <c r="G180" s="55"/>
      <c r="I180" s="326"/>
    </row>
    <row r="181" spans="1:9" s="325" customFormat="1" ht="14.1" customHeight="1" x14ac:dyDescent="0.2">
      <c r="E181" s="844"/>
      <c r="F181" s="326"/>
      <c r="G181" s="55"/>
      <c r="I181" s="326"/>
    </row>
    <row r="182" spans="1:9" s="325" customFormat="1" ht="14.1" customHeight="1" x14ac:dyDescent="0.2">
      <c r="E182" s="844"/>
      <c r="F182" s="326"/>
      <c r="G182" s="55"/>
      <c r="I182" s="326"/>
    </row>
    <row r="183" spans="1:9" s="325" customFormat="1" ht="14.1" customHeight="1" x14ac:dyDescent="0.2">
      <c r="E183" s="844"/>
      <c r="F183" s="326"/>
      <c r="G183" s="55"/>
      <c r="I183" s="326"/>
    </row>
    <row r="184" spans="1:9" s="325" customFormat="1" ht="14.1" customHeight="1" x14ac:dyDescent="0.2">
      <c r="E184" s="844"/>
      <c r="F184" s="326"/>
      <c r="G184" s="55"/>
      <c r="I184" s="326"/>
    </row>
    <row r="185" spans="1:9" s="325" customFormat="1" ht="14.1" customHeight="1" x14ac:dyDescent="0.2">
      <c r="E185" s="844"/>
      <c r="F185" s="326"/>
      <c r="G185" s="55"/>
      <c r="I185" s="326"/>
    </row>
    <row r="186" spans="1:9" s="325" customFormat="1" ht="14.1" customHeight="1" x14ac:dyDescent="0.2">
      <c r="E186" s="844"/>
      <c r="F186" s="326"/>
      <c r="G186" s="55"/>
      <c r="I186" s="326"/>
    </row>
    <row r="187" spans="1:9" s="325" customFormat="1" ht="14.1" customHeight="1" x14ac:dyDescent="0.2">
      <c r="E187" s="844"/>
      <c r="F187" s="326"/>
      <c r="G187" s="55"/>
      <c r="I187" s="326"/>
    </row>
    <row r="188" spans="1:9" s="325" customFormat="1" ht="14.1" customHeight="1" x14ac:dyDescent="0.2">
      <c r="E188" s="844"/>
      <c r="F188" s="326"/>
      <c r="G188" s="55"/>
      <c r="I188" s="326"/>
    </row>
    <row r="189" spans="1:9" s="325" customFormat="1" ht="14.1" customHeight="1" x14ac:dyDescent="0.2">
      <c r="E189" s="844"/>
      <c r="F189" s="326"/>
      <c r="G189" s="55"/>
      <c r="I189" s="326"/>
    </row>
    <row r="190" spans="1:9" s="325" customFormat="1" ht="14.1" customHeight="1" x14ac:dyDescent="0.2">
      <c r="E190" s="844"/>
      <c r="F190" s="326"/>
      <c r="G190" s="55"/>
      <c r="I190" s="326"/>
    </row>
    <row r="191" spans="1:9" s="325" customFormat="1" ht="14.1" customHeight="1" x14ac:dyDescent="0.2">
      <c r="E191" s="844"/>
      <c r="F191" s="326"/>
      <c r="G191" s="55"/>
      <c r="I191" s="326"/>
    </row>
    <row r="192" spans="1:9" s="325" customFormat="1" ht="14.1" customHeight="1" x14ac:dyDescent="0.2">
      <c r="E192" s="844"/>
      <c r="F192" s="326"/>
      <c r="G192" s="55"/>
      <c r="I192" s="326"/>
    </row>
    <row r="193" spans="5:9" s="325" customFormat="1" ht="14.1" customHeight="1" x14ac:dyDescent="0.2">
      <c r="E193" s="844"/>
      <c r="F193" s="326"/>
      <c r="G193" s="55"/>
      <c r="I193" s="326"/>
    </row>
    <row r="194" spans="5:9" s="325" customFormat="1" ht="14.1" customHeight="1" x14ac:dyDescent="0.2">
      <c r="E194" s="844"/>
      <c r="F194" s="326"/>
      <c r="G194" s="55"/>
      <c r="I194" s="326"/>
    </row>
    <row r="195" spans="5:9" s="325" customFormat="1" ht="14.1" customHeight="1" x14ac:dyDescent="0.2">
      <c r="E195" s="844"/>
      <c r="F195" s="326"/>
      <c r="G195" s="55"/>
      <c r="I195" s="326"/>
    </row>
    <row r="196" spans="5:9" s="325" customFormat="1" ht="14.1" customHeight="1" x14ac:dyDescent="0.2">
      <c r="E196" s="844"/>
      <c r="F196" s="326"/>
      <c r="G196" s="55"/>
      <c r="I196" s="326"/>
    </row>
    <row r="197" spans="5:9" s="325" customFormat="1" ht="14.1" customHeight="1" x14ac:dyDescent="0.2">
      <c r="E197" s="844"/>
      <c r="F197" s="326"/>
      <c r="G197" s="55"/>
      <c r="I197" s="326"/>
    </row>
    <row r="198" spans="5:9" s="325" customFormat="1" ht="14.1" customHeight="1" x14ac:dyDescent="0.2">
      <c r="E198" s="844"/>
      <c r="F198" s="326"/>
      <c r="G198" s="55"/>
      <c r="I198" s="326"/>
    </row>
    <row r="199" spans="5:9" s="325" customFormat="1" ht="14.1" customHeight="1" x14ac:dyDescent="0.2">
      <c r="E199" s="844"/>
      <c r="F199" s="326"/>
      <c r="G199" s="55"/>
      <c r="I199" s="326"/>
    </row>
    <row r="200" spans="5:9" s="325" customFormat="1" ht="14.1" customHeight="1" x14ac:dyDescent="0.2">
      <c r="E200" s="844"/>
      <c r="F200" s="326"/>
      <c r="G200" s="55"/>
      <c r="I200" s="326"/>
    </row>
    <row r="201" spans="5:9" s="325" customFormat="1" ht="14.1" customHeight="1" x14ac:dyDescent="0.2">
      <c r="E201" s="844"/>
      <c r="F201" s="326"/>
      <c r="G201" s="55"/>
      <c r="I201" s="326"/>
    </row>
    <row r="202" spans="5:9" s="325" customFormat="1" ht="14.1" customHeight="1" x14ac:dyDescent="0.2">
      <c r="E202" s="844"/>
      <c r="F202" s="326"/>
      <c r="G202" s="55"/>
      <c r="I202" s="326"/>
    </row>
    <row r="203" spans="5:9" s="325" customFormat="1" ht="14.1" customHeight="1" x14ac:dyDescent="0.2">
      <c r="E203" s="844"/>
      <c r="F203" s="326"/>
      <c r="G203" s="55"/>
      <c r="I203" s="326"/>
    </row>
    <row r="204" spans="5:9" s="325" customFormat="1" ht="14.1" customHeight="1" x14ac:dyDescent="0.2">
      <c r="E204" s="844"/>
      <c r="F204" s="326"/>
      <c r="G204" s="55"/>
      <c r="I204" s="326"/>
    </row>
    <row r="205" spans="5:9" s="325" customFormat="1" ht="14.1" customHeight="1" thickBot="1" x14ac:dyDescent="0.25">
      <c r="E205" s="38" t="s">
        <v>344</v>
      </c>
      <c r="F205" s="326"/>
      <c r="G205" s="47">
        <f>IF(SUM(G180:G204)=SUM(FST!J79,FST!J86),SUM(G180:G204),"ERROR")</f>
        <v>0</v>
      </c>
      <c r="I205" s="326"/>
    </row>
    <row r="206" spans="5:9" s="325" customFormat="1" ht="14.1" customHeight="1" thickTop="1" x14ac:dyDescent="0.2">
      <c r="F206" s="416" t="s">
        <v>334</v>
      </c>
      <c r="G206" s="418">
        <f>SUM(G180:G204)</f>
        <v>0</v>
      </c>
      <c r="I206" s="326"/>
    </row>
    <row r="207" spans="5:9" s="325" customFormat="1" ht="14.1" customHeight="1" x14ac:dyDescent="0.2">
      <c r="F207" s="416" t="s">
        <v>689</v>
      </c>
      <c r="G207" s="418">
        <f>SUM(FST!J79,FST!J86)-'TAB 1A, GASBS 3'!G206</f>
        <v>0</v>
      </c>
      <c r="I207" s="326"/>
    </row>
    <row r="208" spans="5:9" s="325" customFormat="1" ht="14.1" customHeight="1" x14ac:dyDescent="0.2">
      <c r="F208" s="326"/>
      <c r="I208" s="326"/>
    </row>
    <row r="209" spans="6:10" s="325" customFormat="1" ht="14.1" customHeight="1" x14ac:dyDescent="0.2">
      <c r="F209" s="326"/>
      <c r="I209" s="326"/>
    </row>
    <row r="210" spans="6:10" s="325" customFormat="1" ht="14.1" customHeight="1" x14ac:dyDescent="0.2">
      <c r="F210" s="326"/>
      <c r="I210" s="326"/>
    </row>
    <row r="211" spans="6:10" s="325" customFormat="1" ht="14.1" hidden="1" customHeight="1" x14ac:dyDescent="0.2">
      <c r="F211" s="326"/>
      <c r="I211" s="326"/>
      <c r="J211" s="38" t="s">
        <v>285</v>
      </c>
    </row>
    <row r="212" spans="6:10" s="325" customFormat="1" ht="14.1" hidden="1" customHeight="1" x14ac:dyDescent="0.2">
      <c r="F212" s="326"/>
      <c r="I212" s="326"/>
      <c r="J212" s="38" t="s">
        <v>687</v>
      </c>
    </row>
    <row r="213" spans="6:10" s="325" customFormat="1" ht="14.1" hidden="1" customHeight="1" x14ac:dyDescent="0.2">
      <c r="F213" s="326"/>
      <c r="I213" s="326"/>
      <c r="J213" s="38" t="s">
        <v>688</v>
      </c>
    </row>
    <row r="214" spans="6:10" s="325" customFormat="1" ht="14.1" customHeight="1" x14ac:dyDescent="0.2">
      <c r="F214" s="326"/>
      <c r="I214" s="326"/>
    </row>
    <row r="215" spans="6:10" s="325" customFormat="1" ht="14.1" customHeight="1" x14ac:dyDescent="0.2">
      <c r="F215" s="326"/>
      <c r="I215" s="326"/>
    </row>
    <row r="216" spans="6:10" s="325" customFormat="1" ht="14.1" customHeight="1" x14ac:dyDescent="0.2">
      <c r="F216" s="326"/>
      <c r="I216" s="326"/>
    </row>
    <row r="217" spans="6:10" s="325" customFormat="1" ht="14.1" customHeight="1" x14ac:dyDescent="0.2">
      <c r="F217" s="326"/>
      <c r="I217" s="326"/>
    </row>
    <row r="218" spans="6:10" s="325" customFormat="1" ht="14.1" customHeight="1" x14ac:dyDescent="0.2">
      <c r="F218" s="326"/>
      <c r="I218" s="326"/>
    </row>
    <row r="219" spans="6:10" s="325" customFormat="1" ht="14.1" customHeight="1" x14ac:dyDescent="0.2">
      <c r="F219" s="326"/>
      <c r="I219" s="326"/>
    </row>
    <row r="220" spans="6:10" s="325" customFormat="1" ht="14.1" customHeight="1" x14ac:dyDescent="0.2">
      <c r="F220" s="326"/>
      <c r="I220" s="326"/>
    </row>
  </sheetData>
  <sheetProtection algorithmName="SHA-512" hashValue="BK3SUt2T56K0+NR9yNvm7BVTsK52+6gF9hWrKRhQarzGsr04hcvgaUf5GhcF7LjewP9yba683Yklypv4g9PC8Q==" saltValue="0IU8RmTPUmbs+MGlWUEQ0g==" spinCount="100000" sheet="1" objects="1" scenarios="1"/>
  <mergeCells count="26">
    <mergeCell ref="A24:B24"/>
    <mergeCell ref="E3:J3"/>
    <mergeCell ref="E4:J4"/>
    <mergeCell ref="D81:E81"/>
    <mergeCell ref="D80:E80"/>
    <mergeCell ref="D73:E73"/>
    <mergeCell ref="D74:E74"/>
    <mergeCell ref="D79:E79"/>
    <mergeCell ref="D66:E66"/>
    <mergeCell ref="E22:J24"/>
    <mergeCell ref="E1:J1"/>
    <mergeCell ref="D72:E72"/>
    <mergeCell ref="E5:J5"/>
    <mergeCell ref="E6:J6"/>
    <mergeCell ref="C40:G40"/>
    <mergeCell ref="C48:H48"/>
    <mergeCell ref="D67:E67"/>
    <mergeCell ref="D59:E59"/>
    <mergeCell ref="D58:E58"/>
    <mergeCell ref="D60:E60"/>
    <mergeCell ref="D65:E65"/>
    <mergeCell ref="E2:J2"/>
    <mergeCell ref="A10:I10"/>
    <mergeCell ref="A28:J28"/>
    <mergeCell ref="A30:J30"/>
    <mergeCell ref="C46:G46"/>
  </mergeCells>
  <phoneticPr fontId="12" type="noConversion"/>
  <conditionalFormatting sqref="E22:J24">
    <cfRule type="containsText" dxfId="164" priority="1" operator="containsText" text="Reminder: Submit a TAB 1a cash reconciliation along with the HE-10 submission.">
      <formula>NOT(ISERROR(SEARCH("Reminder: Submit a TAB 1a cash reconciliation along with the HE-10 submission.",E22)))</formula>
    </cfRule>
    <cfRule type="containsText" dxfId="163" priority="2" operator="containsText" text="Reminder: Submit a TAB+$22:$24 1a cash reconciliation along with the HE-10 submission.">
      <formula>NOT(ISERROR(SEARCH("Reminder: Submit a TAB+$22:$24 1a cash reconciliation along with the HE-10 submission.",E22)))</formula>
    </cfRule>
  </conditionalFormatting>
  <conditionalFormatting sqref="J26">
    <cfRule type="cellIs" dxfId="162" priority="3" operator="equal">
      <formula>"Answer Required"</formula>
    </cfRule>
  </conditionalFormatting>
  <dataValidations count="5">
    <dataValidation type="whole" allowBlank="1" showInputMessage="1" showErrorMessage="1" error="Enter whole number." sqref="G180:G204" xr:uid="{00000000-0002-0000-0A00-000000000000}">
      <formula1>-100000000000000000</formula1>
      <formula2>100000000000000000</formula2>
    </dataValidation>
    <dataValidation type="whole" allowBlank="1" showInputMessage="1" showErrorMessage="1" error="Enter whole number." sqref="J118:J142 G65:G67 J46:J47 J88:J112 G79:G81 C19:C24 G58:G60 G72:G74 J40:J42 J35 G118:G142 G88:G112 G149:G173" xr:uid="{00000000-0002-0000-0A00-000001000000}">
      <formula1>-10000000000000000000</formula1>
      <formula2>10000000000000000000</formula2>
    </dataValidation>
    <dataValidation allowBlank="1" showInputMessage="1" showErrorMessage="1" error="Enter whole number." sqref="A31:J31 A48:C54 I48:J54 D49:H54" xr:uid="{00000000-0002-0000-0A00-000002000000}"/>
    <dataValidation allowBlank="1" showInputMessage="1" showErrorMessage="1" error="Enter yes or no." sqref="J26" xr:uid="{00000000-0002-0000-0A00-000003000000}"/>
    <dataValidation type="whole" allowBlank="1" showInputMessage="1" showErrorMessage="1" error="Enter a 3-digit agency control number." sqref="E1:J1" xr:uid="{00000000-0002-0000-0A00-000004000000}">
      <formula1>100</formula1>
      <formula2>999</formula2>
    </dataValidation>
  </dataValidations>
  <pageMargins left="0.7" right="0.5" top="0.82" bottom="0.5" header="0.38" footer="0.17"/>
  <pageSetup scale="70" fitToHeight="0" orientation="portrait" cellComments="asDisplayed" r:id="rId1"/>
  <headerFooter alignWithMargins="0">
    <oddHeader>&amp;C&amp;"Arial,Bold"&amp;11Attachment HE-10
Financial Statement Template
&amp;A</oddHeader>
    <oddFooter>&amp;L&amp;"Arial,Regular"&amp;F \ &amp;A&amp;R&amp;"Arial,Regular"Page &amp;P</oddFooter>
  </headerFooter>
  <rowBreaks count="3" manualBreakCount="3">
    <brk id="54" max="16383" man="1"/>
    <brk id="115" max="16383" man="1"/>
    <brk id="176"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3"/>
  <sheetViews>
    <sheetView showGridLines="0" zoomScaleNormal="100" zoomScaleSheetLayoutView="100" workbookViewId="0"/>
  </sheetViews>
  <sheetFormatPr defaultColWidth="9.33203125" defaultRowHeight="12.6" customHeight="1" x14ac:dyDescent="0.2"/>
  <cols>
    <col min="1" max="1" width="46.5" style="33" customWidth="1"/>
    <col min="2" max="2" width="21.6640625" style="34" customWidth="1"/>
    <col min="3" max="3" width="6.33203125" style="33" customWidth="1"/>
    <col min="4" max="4" width="22.33203125" style="33" customWidth="1"/>
    <col min="5" max="5" width="2.33203125" style="33" customWidth="1"/>
    <col min="6" max="6" width="16.83203125" style="33" customWidth="1"/>
    <col min="7" max="7" width="9.33203125" style="33"/>
    <col min="8" max="8" width="46.5" style="33" customWidth="1"/>
    <col min="9" max="9" width="21.6640625" style="34" customWidth="1"/>
    <col min="10" max="10" width="6.33203125" style="33" customWidth="1"/>
    <col min="11" max="11" width="22.33203125" style="33" customWidth="1"/>
    <col min="12" max="12" width="2.33203125" style="33" customWidth="1"/>
    <col min="13" max="13" width="16.83203125" style="33" customWidth="1"/>
    <col min="14" max="16384" width="9.33203125" style="33"/>
  </cols>
  <sheetData>
    <row r="1" spans="1:13" ht="12.6" customHeight="1" x14ac:dyDescent="0.2">
      <c r="A1" s="824" t="s">
        <v>1155</v>
      </c>
      <c r="B1" s="1284">
        <f>FST!E1</f>
        <v>0</v>
      </c>
      <c r="C1" s="1240"/>
      <c r="D1" s="1240"/>
      <c r="E1" s="1240"/>
      <c r="H1" s="824"/>
      <c r="I1" s="824"/>
      <c r="J1" s="824"/>
      <c r="K1" s="824"/>
      <c r="L1" s="824"/>
    </row>
    <row r="2" spans="1:13" ht="37.5" customHeight="1" x14ac:dyDescent="0.2">
      <c r="A2" s="824" t="s">
        <v>770</v>
      </c>
      <c r="B2" s="1285" t="str">
        <f>FST!E2</f>
        <v/>
      </c>
      <c r="C2" s="1247"/>
      <c r="D2" s="1247"/>
      <c r="E2" s="1286"/>
      <c r="F2" s="65"/>
      <c r="H2" s="824"/>
      <c r="I2" s="1278"/>
      <c r="J2" s="1279"/>
      <c r="K2" s="1279"/>
      <c r="L2" s="1279"/>
      <c r="M2" s="65"/>
    </row>
    <row r="3" spans="1:13" ht="13.5" customHeight="1" x14ac:dyDescent="0.2">
      <c r="A3" s="824" t="s">
        <v>771</v>
      </c>
      <c r="B3" s="1287">
        <f>FST!E3</f>
        <v>0</v>
      </c>
      <c r="C3" s="1249"/>
      <c r="D3" s="1249"/>
      <c r="E3" s="1249"/>
      <c r="F3" s="65"/>
      <c r="H3" s="824"/>
      <c r="I3" s="1280"/>
      <c r="J3" s="1281"/>
      <c r="K3" s="1281"/>
      <c r="L3" s="1281"/>
      <c r="M3" s="65"/>
    </row>
    <row r="4" spans="1:13" ht="12.6" customHeight="1" x14ac:dyDescent="0.2">
      <c r="A4" s="824" t="s">
        <v>773</v>
      </c>
      <c r="B4" s="1288">
        <f>FST!E4</f>
        <v>0</v>
      </c>
      <c r="C4" s="1251"/>
      <c r="D4" s="1251"/>
      <c r="E4" s="1251"/>
      <c r="F4" s="66"/>
      <c r="H4" s="824"/>
      <c r="I4" s="1282"/>
      <c r="J4" s="1283"/>
      <c r="K4" s="1283"/>
      <c r="L4" s="1283"/>
      <c r="M4" s="66"/>
    </row>
    <row r="5" spans="1:13" ht="12.6" customHeight="1" x14ac:dyDescent="0.2">
      <c r="A5" s="825" t="s">
        <v>774</v>
      </c>
      <c r="B5" s="1287">
        <f>FST!E5</f>
        <v>0</v>
      </c>
      <c r="C5" s="1249"/>
      <c r="D5" s="1249"/>
      <c r="E5" s="1249"/>
      <c r="F5" s="66"/>
      <c r="H5" s="825"/>
      <c r="I5" s="1280"/>
      <c r="J5" s="1281"/>
      <c r="K5" s="1281"/>
      <c r="L5" s="1281"/>
      <c r="M5" s="66"/>
    </row>
    <row r="6" spans="1:13" ht="12.6" customHeight="1" x14ac:dyDescent="0.2">
      <c r="A6" s="826" t="s">
        <v>775</v>
      </c>
      <c r="B6" s="1277">
        <f>FST!E6</f>
        <v>0</v>
      </c>
      <c r="C6" s="1253"/>
      <c r="D6" s="1253"/>
      <c r="E6" s="1253"/>
      <c r="F6" s="66"/>
      <c r="H6" s="826"/>
      <c r="I6" s="1269"/>
      <c r="J6" s="1270"/>
      <c r="K6" s="1270"/>
      <c r="L6" s="1270"/>
      <c r="M6" s="66"/>
    </row>
    <row r="7" spans="1:13" ht="12.6" customHeight="1" x14ac:dyDescent="0.2">
      <c r="A7" s="67" t="s">
        <v>800</v>
      </c>
      <c r="H7" s="67"/>
    </row>
    <row r="8" spans="1:13" ht="12.6" customHeight="1" x14ac:dyDescent="0.2">
      <c r="A8" s="827" t="s">
        <v>1734</v>
      </c>
      <c r="H8" s="827"/>
    </row>
    <row r="9" spans="1:13" ht="12.6" customHeight="1" x14ac:dyDescent="0.2">
      <c r="A9" s="827"/>
      <c r="H9" s="827"/>
    </row>
    <row r="10" spans="1:13" ht="26.25" customHeight="1" x14ac:dyDescent="0.2">
      <c r="A10" s="1263" t="s">
        <v>449</v>
      </c>
      <c r="B10" s="1264"/>
      <c r="C10" s="1264"/>
      <c r="D10" s="1264"/>
      <c r="E10" s="1264"/>
      <c r="F10" s="478"/>
      <c r="H10" s="1263"/>
      <c r="I10" s="1264"/>
      <c r="J10" s="1264"/>
      <c r="K10" s="1264"/>
      <c r="L10" s="1264"/>
      <c r="M10" s="478"/>
    </row>
    <row r="11" spans="1:13" ht="13.5" customHeight="1" x14ac:dyDescent="0.2">
      <c r="A11" s="249"/>
      <c r="B11" s="35"/>
      <c r="C11" s="36"/>
      <c r="D11" s="36"/>
      <c r="E11" s="36"/>
      <c r="F11" s="36"/>
      <c r="H11" s="249"/>
      <c r="I11" s="35"/>
      <c r="J11" s="36"/>
      <c r="K11" s="36"/>
      <c r="L11" s="36"/>
      <c r="M11" s="36"/>
    </row>
    <row r="12" spans="1:13" s="67" customFormat="1" ht="27" customHeight="1" x14ac:dyDescent="0.2">
      <c r="A12" s="1272" t="s">
        <v>1785</v>
      </c>
      <c r="B12" s="1272"/>
      <c r="C12" s="1272"/>
      <c r="D12" s="1272"/>
      <c r="E12" s="1272"/>
      <c r="F12" s="1272"/>
      <c r="H12" s="1272" t="s">
        <v>1842</v>
      </c>
      <c r="I12" s="1272"/>
      <c r="J12" s="1272"/>
      <c r="K12" s="1272"/>
      <c r="L12" s="1272"/>
      <c r="M12" s="1272"/>
    </row>
    <row r="13" spans="1:13" s="67" customFormat="1" ht="105.75" customHeight="1" x14ac:dyDescent="0.2">
      <c r="A13" s="1134"/>
      <c r="B13" s="1134"/>
      <c r="C13" s="1134"/>
      <c r="D13" s="1134"/>
      <c r="E13" s="1134"/>
      <c r="F13" s="1134"/>
      <c r="H13" s="1273" t="s">
        <v>1843</v>
      </c>
      <c r="I13" s="1273"/>
      <c r="J13" s="1273"/>
      <c r="K13" s="1273"/>
      <c r="L13" s="1273"/>
      <c r="M13" s="1273"/>
    </row>
    <row r="14" spans="1:13" s="67" customFormat="1" ht="21" customHeight="1" x14ac:dyDescent="0.2">
      <c r="B14" s="37"/>
      <c r="H14" s="1273"/>
      <c r="I14" s="1273"/>
      <c r="J14" s="1273"/>
      <c r="K14" s="1273"/>
      <c r="L14" s="1273"/>
      <c r="M14" s="1273"/>
    </row>
    <row r="15" spans="1:13" s="67" customFormat="1" ht="24" x14ac:dyDescent="0.2">
      <c r="B15" s="642" t="s">
        <v>1735</v>
      </c>
      <c r="D15" s="37"/>
      <c r="I15" s="642" t="s">
        <v>1735</v>
      </c>
      <c r="K15" s="37"/>
    </row>
    <row r="16" spans="1:13" ht="12.6" customHeight="1" x14ac:dyDescent="0.2">
      <c r="A16" s="67" t="s">
        <v>236</v>
      </c>
      <c r="B16" s="68"/>
      <c r="H16" s="67" t="s">
        <v>1790</v>
      </c>
      <c r="I16" s="68"/>
    </row>
    <row r="17" spans="1:13" ht="15" customHeight="1" x14ac:dyDescent="0.2">
      <c r="A17" s="69" t="s">
        <v>710</v>
      </c>
      <c r="B17" s="72"/>
      <c r="D17" s="209"/>
      <c r="H17" s="1136" t="s">
        <v>1791</v>
      </c>
      <c r="I17" s="72"/>
      <c r="K17" s="209"/>
    </row>
    <row r="18" spans="1:13" ht="12" x14ac:dyDescent="0.2">
      <c r="A18" s="69" t="s">
        <v>691</v>
      </c>
      <c r="B18" s="72"/>
      <c r="D18" s="209"/>
      <c r="H18" s="1136" t="s">
        <v>1792</v>
      </c>
      <c r="I18" s="72"/>
      <c r="K18" s="209"/>
    </row>
    <row r="19" spans="1:13" ht="15" customHeight="1" x14ac:dyDescent="0.2">
      <c r="A19" s="69" t="s">
        <v>692</v>
      </c>
      <c r="B19" s="72"/>
      <c r="D19" s="209"/>
      <c r="H19" s="1136" t="s">
        <v>1793</v>
      </c>
      <c r="I19" s="72"/>
      <c r="K19" s="209"/>
    </row>
    <row r="20" spans="1:13" ht="24" x14ac:dyDescent="0.2">
      <c r="A20" s="69" t="s">
        <v>256</v>
      </c>
      <c r="B20" s="328"/>
      <c r="D20" s="209"/>
      <c r="H20" s="1136" t="s">
        <v>1794</v>
      </c>
      <c r="I20" s="328"/>
      <c r="K20" s="209"/>
    </row>
    <row r="21" spans="1:13" ht="12" x14ac:dyDescent="0.2">
      <c r="A21" s="1113" t="s">
        <v>1612</v>
      </c>
      <c r="B21" s="72"/>
      <c r="D21" s="209"/>
      <c r="H21" s="1113" t="s">
        <v>1795</v>
      </c>
      <c r="I21" s="72"/>
      <c r="K21" s="209"/>
    </row>
    <row r="22" spans="1:13" ht="12" x14ac:dyDescent="0.2">
      <c r="A22" s="665" t="str">
        <f>IF(B22&lt;&gt;0,"Answer Required","N/A")</f>
        <v>N/A</v>
      </c>
      <c r="B22" s="72"/>
      <c r="D22" s="209"/>
      <c r="H22" s="665" t="str">
        <f>IF(I22&lt;&gt;0,"Answer Required","N/A")</f>
        <v>N/A</v>
      </c>
      <c r="I22" s="72"/>
      <c r="K22" s="209"/>
    </row>
    <row r="23" spans="1:13" ht="12" x14ac:dyDescent="0.2">
      <c r="A23" s="665" t="str">
        <f>IF(B23&lt;&gt;0,"Answer Required","N/A")</f>
        <v>N/A</v>
      </c>
      <c r="B23" s="73"/>
      <c r="D23" s="209"/>
      <c r="H23" s="665" t="str">
        <f>IF(I23&lt;&gt;0,"Answer Required","N/A")</f>
        <v>N/A</v>
      </c>
      <c r="I23" s="73"/>
      <c r="K23" s="209"/>
    </row>
    <row r="24" spans="1:13" ht="15" customHeight="1" x14ac:dyDescent="0.2">
      <c r="A24" s="69"/>
      <c r="B24" s="74">
        <f>SUM(B17:B23)</f>
        <v>0</v>
      </c>
      <c r="D24" s="328"/>
      <c r="H24" s="69"/>
      <c r="I24" s="74">
        <f>SUM(I17:I23)</f>
        <v>0</v>
      </c>
      <c r="K24" s="328"/>
    </row>
    <row r="25" spans="1:13" ht="12" customHeight="1" x14ac:dyDescent="0.2">
      <c r="A25" s="69"/>
      <c r="B25" s="276"/>
      <c r="D25" s="209"/>
      <c r="H25" s="69"/>
      <c r="I25" s="276"/>
      <c r="K25" s="209"/>
    </row>
    <row r="26" spans="1:13" ht="23.25" customHeight="1" x14ac:dyDescent="0.2">
      <c r="A26" s="70" t="s">
        <v>772</v>
      </c>
      <c r="B26" s="276"/>
      <c r="D26" s="37"/>
      <c r="F26" s="514"/>
      <c r="H26" s="70" t="s">
        <v>772</v>
      </c>
      <c r="I26" s="276"/>
      <c r="K26" s="37"/>
      <c r="M26" s="514"/>
    </row>
    <row r="27" spans="1:13" ht="24" x14ac:dyDescent="0.2">
      <c r="A27" s="33" t="s">
        <v>768</v>
      </c>
      <c r="B27" s="72"/>
      <c r="D27" s="421" t="s">
        <v>818</v>
      </c>
      <c r="F27" s="515" t="s">
        <v>690</v>
      </c>
      <c r="H27" s="33" t="s">
        <v>768</v>
      </c>
      <c r="I27" s="72"/>
      <c r="K27" s="421" t="s">
        <v>818</v>
      </c>
      <c r="M27" s="515" t="s">
        <v>690</v>
      </c>
    </row>
    <row r="28" spans="1:13" ht="18" customHeight="1" thickBot="1" x14ac:dyDescent="0.25">
      <c r="A28" s="33" t="s">
        <v>769</v>
      </c>
      <c r="B28" s="75">
        <f>IF(SUM(B24,B27)=FST!G56,SUM(B24,B27),"ERROR")</f>
        <v>0</v>
      </c>
      <c r="C28" s="71"/>
      <c r="D28" s="421">
        <f>SUM(B24,B27)</f>
        <v>0</v>
      </c>
      <c r="F28" s="420">
        <f>FST!G56-'TAB 2, Receivables'!D28</f>
        <v>0</v>
      </c>
      <c r="H28" s="656" t="s">
        <v>1796</v>
      </c>
      <c r="I28" s="75">
        <f>IF(SUM(I24,I27)=FST!G91,SUM(I24,I27),"ERROR")</f>
        <v>0</v>
      </c>
      <c r="J28" s="71"/>
      <c r="K28" s="421">
        <f>SUM(I24,I27)</f>
        <v>0</v>
      </c>
      <c r="M28" s="420">
        <f>FST!G91-'TAB 2, Receivables'!K28</f>
        <v>0</v>
      </c>
    </row>
    <row r="29" spans="1:13" ht="12.6" customHeight="1" thickTop="1" x14ac:dyDescent="0.2">
      <c r="C29" s="71"/>
      <c r="D29" s="419"/>
      <c r="J29" s="71"/>
      <c r="K29" s="419"/>
    </row>
    <row r="30" spans="1:13" ht="36" x14ac:dyDescent="0.2">
      <c r="A30" s="643" t="s">
        <v>1786</v>
      </c>
      <c r="B30" s="402"/>
      <c r="H30" s="643" t="s">
        <v>1797</v>
      </c>
      <c r="I30" s="402"/>
    </row>
    <row r="31" spans="1:13" ht="24" hidden="1" customHeight="1" x14ac:dyDescent="0.2">
      <c r="H31" s="1143" t="s">
        <v>1787</v>
      </c>
      <c r="I31" s="1144"/>
      <c r="J31" s="1145"/>
      <c r="K31" s="1145"/>
      <c r="L31" s="1145"/>
      <c r="M31" s="1145"/>
    </row>
    <row r="32" spans="1:13" ht="118.5" hidden="1" customHeight="1" x14ac:dyDescent="0.2">
      <c r="H32" s="1274"/>
      <c r="I32" s="1275"/>
      <c r="J32" s="1275"/>
      <c r="K32" s="1275"/>
      <c r="L32" s="1275"/>
      <c r="M32" s="1276"/>
    </row>
    <row r="33" spans="1:13" ht="12" customHeight="1" thickBot="1" x14ac:dyDescent="0.25">
      <c r="A33" s="329"/>
      <c r="B33" s="330"/>
      <c r="C33" s="329"/>
      <c r="D33" s="329"/>
      <c r="E33" s="329"/>
      <c r="F33" s="329"/>
      <c r="H33" s="329"/>
      <c r="I33" s="330"/>
      <c r="J33" s="329"/>
      <c r="K33" s="329"/>
      <c r="L33" s="329"/>
      <c r="M33" s="329"/>
    </row>
    <row r="35" spans="1:13" ht="36.75" customHeight="1" x14ac:dyDescent="0.2">
      <c r="A35" s="1263" t="s">
        <v>677</v>
      </c>
      <c r="B35" s="1243"/>
      <c r="C35" s="1243"/>
      <c r="D35" s="1243"/>
      <c r="E35" s="1243"/>
      <c r="F35" s="1243"/>
      <c r="H35" s="1271" t="s">
        <v>1789</v>
      </c>
      <c r="I35" s="1243"/>
      <c r="J35" s="1243"/>
      <c r="K35" s="1243"/>
      <c r="L35" s="1243"/>
      <c r="M35" s="1243"/>
    </row>
    <row r="36" spans="1:13" ht="36" x14ac:dyDescent="0.2">
      <c r="A36" s="67"/>
      <c r="B36" s="642" t="s">
        <v>1736</v>
      </c>
      <c r="H36" s="67"/>
      <c r="I36" s="642" t="s">
        <v>1736</v>
      </c>
    </row>
    <row r="37" spans="1:13" ht="24" x14ac:dyDescent="0.2">
      <c r="A37" s="70" t="s">
        <v>499</v>
      </c>
      <c r="B37" s="68"/>
      <c r="H37" s="70" t="s">
        <v>1799</v>
      </c>
      <c r="I37" s="68"/>
    </row>
    <row r="38" spans="1:13" ht="12.6" customHeight="1" x14ac:dyDescent="0.2">
      <c r="A38" s="69" t="s">
        <v>710</v>
      </c>
      <c r="B38" s="72"/>
      <c r="H38" s="1136" t="s">
        <v>1791</v>
      </c>
      <c r="I38" s="72"/>
    </row>
    <row r="39" spans="1:13" ht="12.6" customHeight="1" x14ac:dyDescent="0.2">
      <c r="A39" s="69" t="s">
        <v>691</v>
      </c>
      <c r="B39" s="72"/>
      <c r="H39" s="1136" t="s">
        <v>1792</v>
      </c>
      <c r="I39" s="72"/>
    </row>
    <row r="40" spans="1:13" ht="12.6" customHeight="1" x14ac:dyDescent="0.2">
      <c r="A40" s="69" t="s">
        <v>693</v>
      </c>
      <c r="B40" s="72"/>
      <c r="H40" s="1136" t="s">
        <v>1798</v>
      </c>
      <c r="I40" s="72"/>
    </row>
    <row r="41" spans="1:13" ht="24" x14ac:dyDescent="0.2">
      <c r="A41" s="69" t="s">
        <v>256</v>
      </c>
      <c r="B41" s="328"/>
      <c r="H41" s="1136" t="s">
        <v>1794</v>
      </c>
      <c r="I41" s="328"/>
    </row>
    <row r="42" spans="1:13" ht="12.6" customHeight="1" x14ac:dyDescent="0.2">
      <c r="A42" s="1114" t="s">
        <v>1695</v>
      </c>
      <c r="B42" s="72"/>
      <c r="H42" s="1114" t="s">
        <v>1795</v>
      </c>
      <c r="I42" s="72"/>
    </row>
    <row r="43" spans="1:13" ht="12.6" customHeight="1" x14ac:dyDescent="0.2">
      <c r="A43" s="403" t="str">
        <f>A22</f>
        <v>N/A</v>
      </c>
      <c r="B43" s="72"/>
      <c r="H43" s="403" t="str">
        <f>H22</f>
        <v>N/A</v>
      </c>
      <c r="I43" s="72"/>
    </row>
    <row r="44" spans="1:13" ht="12.6" customHeight="1" x14ac:dyDescent="0.2">
      <c r="A44" s="403" t="str">
        <f>A23</f>
        <v>N/A</v>
      </c>
      <c r="B44" s="72"/>
      <c r="H44" s="403" t="str">
        <f>H23</f>
        <v>N/A</v>
      </c>
      <c r="I44" s="72"/>
    </row>
    <row r="45" spans="1:13" ht="12.6" customHeight="1" x14ac:dyDescent="0.2">
      <c r="A45" s="69" t="s">
        <v>767</v>
      </c>
      <c r="B45" s="74">
        <f>SUM(B38:B44)</f>
        <v>0</v>
      </c>
      <c r="H45" s="1136" t="s">
        <v>1802</v>
      </c>
      <c r="I45" s="74">
        <f>SUM(I38:I44)</f>
        <v>0</v>
      </c>
    </row>
    <row r="46" spans="1:13" ht="12.6" customHeight="1" x14ac:dyDescent="0.2">
      <c r="A46" s="69"/>
      <c r="B46" s="276"/>
      <c r="H46" s="69"/>
      <c r="I46" s="276"/>
    </row>
    <row r="47" spans="1:13" ht="33" customHeight="1" x14ac:dyDescent="0.2">
      <c r="A47" s="70" t="s">
        <v>498</v>
      </c>
      <c r="B47" s="276"/>
      <c r="H47" s="70" t="s">
        <v>498</v>
      </c>
      <c r="I47" s="276"/>
    </row>
    <row r="48" spans="1:13" ht="24" x14ac:dyDescent="0.2">
      <c r="A48" s="33" t="s">
        <v>768</v>
      </c>
      <c r="B48" s="72"/>
      <c r="D48" s="419" t="s">
        <v>818</v>
      </c>
      <c r="F48" s="515" t="s">
        <v>690</v>
      </c>
      <c r="H48" s="33" t="s">
        <v>768</v>
      </c>
      <c r="I48" s="72"/>
      <c r="K48" s="419" t="s">
        <v>818</v>
      </c>
      <c r="M48" s="515" t="s">
        <v>690</v>
      </c>
    </row>
    <row r="49" spans="1:13" ht="33" customHeight="1" thickBot="1" x14ac:dyDescent="0.25">
      <c r="A49" s="69" t="s">
        <v>48</v>
      </c>
      <c r="B49" s="75">
        <f>IF(SUM(B45,B48)='Elimination Entries to FST'!H56,SUM(B45,B48),"ERROR")</f>
        <v>0</v>
      </c>
      <c r="C49" s="71"/>
      <c r="D49" s="420">
        <f>SUM(B45,B48)</f>
        <v>0</v>
      </c>
      <c r="F49" s="420">
        <f>'Elimination Entries to FST'!H56-'TAB 2, Receivables'!D49</f>
        <v>0</v>
      </c>
      <c r="H49" s="1136" t="s">
        <v>1800</v>
      </c>
      <c r="I49" s="75">
        <f>IF(SUM(I45,I48)='Elimination Entries to FST'!H92,SUM(I45,I48),"ERROR")</f>
        <v>0</v>
      </c>
      <c r="J49" s="71"/>
      <c r="K49" s="420">
        <f>SUM(I45,I48)</f>
        <v>0</v>
      </c>
      <c r="M49" s="420">
        <f>'Elimination Entries to FST'!H92-'TAB 2, Receivables'!K49</f>
        <v>0</v>
      </c>
    </row>
    <row r="50" spans="1:13" ht="12.6" customHeight="1" thickTop="1" x14ac:dyDescent="0.2">
      <c r="B50" s="422"/>
      <c r="C50" s="71"/>
      <c r="I50" s="422"/>
      <c r="J50" s="71"/>
    </row>
    <row r="51" spans="1:13" ht="12" x14ac:dyDescent="0.2">
      <c r="B51" s="422"/>
      <c r="I51" s="422"/>
    </row>
    <row r="52" spans="1:13" ht="48" x14ac:dyDescent="0.2">
      <c r="A52" s="643" t="s">
        <v>1788</v>
      </c>
      <c r="B52" s="402"/>
      <c r="H52" s="643" t="s">
        <v>1801</v>
      </c>
      <c r="I52" s="402"/>
    </row>
    <row r="53" spans="1:13" ht="12" x14ac:dyDescent="0.2"/>
  </sheetData>
  <sheetProtection algorithmName="SHA-512" hashValue="7GLLJiBPQT2SwJ0/+rE++TFx/jYDR4tv4kMkXFmg0x8hfwS4IQUFOwUVHL/ooH1vETqufybCn30UjJwtPlDSpg==" saltValue="2X1mOh2F0lF5pd9+/YoCGA==" spinCount="100000" sheet="1" objects="1" scenarios="1"/>
  <mergeCells count="19">
    <mergeCell ref="I2:L2"/>
    <mergeCell ref="I3:L3"/>
    <mergeCell ref="I4:L4"/>
    <mergeCell ref="I5:L5"/>
    <mergeCell ref="B1:E1"/>
    <mergeCell ref="B2:E2"/>
    <mergeCell ref="B3:E3"/>
    <mergeCell ref="B4:E4"/>
    <mergeCell ref="B5:E5"/>
    <mergeCell ref="I6:L6"/>
    <mergeCell ref="H10:L10"/>
    <mergeCell ref="H35:M35"/>
    <mergeCell ref="H12:M12"/>
    <mergeCell ref="A12:F12"/>
    <mergeCell ref="H13:M14"/>
    <mergeCell ref="H32:M32"/>
    <mergeCell ref="A35:F35"/>
    <mergeCell ref="B6:E6"/>
    <mergeCell ref="A10:E10"/>
  </mergeCells>
  <phoneticPr fontId="12" type="noConversion"/>
  <conditionalFormatting sqref="A22:A23">
    <cfRule type="containsText" dxfId="161" priority="2" operator="containsText" text="Answer Required">
      <formula>NOT(ISERROR(SEARCH("Answer Required",A22)))</formula>
    </cfRule>
  </conditionalFormatting>
  <conditionalFormatting sqref="H22:H23">
    <cfRule type="containsText" dxfId="160" priority="1" operator="containsText" text="Answer Required">
      <formula>NOT(ISERROR(SEARCH("Answer Required",H22)))</formula>
    </cfRule>
  </conditionalFormatting>
  <dataValidations xWindow="149" yWindow="258" count="2">
    <dataValidation type="whole" allowBlank="1" showInputMessage="1" showErrorMessage="1" error="Enter whole number." sqref="B52 B48 B30 B27 B38:B44 D17:D23 B17:B23 I52 I48 I30 I27 I38:I44 K17:K23 I17:I23 H32" xr:uid="{00000000-0002-0000-0B00-000000000000}">
      <formula1>-1000000000000000</formula1>
      <formula2>10000000000000000</formula2>
    </dataValidation>
    <dataValidation type="whole" allowBlank="1" showInputMessage="1" showErrorMessage="1" error="Enter a 3-digit agency control number." sqref="B1:E1" xr:uid="{00000000-0002-0000-0B00-000001000000}">
      <formula1>100</formula1>
      <formula2>999</formula2>
    </dataValidation>
  </dataValidations>
  <pageMargins left="0.7" right="0.7" top="1" bottom="0.75" header="0.3" footer="0.3"/>
  <pageSetup scale="52" fitToHeight="0" orientation="landscape" cellComments="asDisplayed" r:id="rId1"/>
  <headerFooter alignWithMargins="0">
    <oddHeader>&amp;C&amp;"Arial,Bold"&amp;11Attachment HE-10
Financial Statement Template
&amp;A</oddHeader>
    <oddFooter>&amp;L&amp;"Arial,Regular"&amp;F \ &amp;A&amp;R&amp;"Arial,Regular"Page &amp;P</oddFooter>
  </headerFooter>
  <rowBreaks count="1" manualBreakCount="1">
    <brk id="33"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18"/>
  <sheetViews>
    <sheetView showGridLines="0" zoomScaleNormal="100" zoomScaleSheetLayoutView="100" workbookViewId="0"/>
  </sheetViews>
  <sheetFormatPr defaultColWidth="9.33203125" defaultRowHeight="12.6" customHeight="1" x14ac:dyDescent="0.2"/>
  <cols>
    <col min="1" max="1" width="46.5" style="85" customWidth="1"/>
    <col min="2" max="2" width="1.6640625" style="85" customWidth="1"/>
    <col min="3" max="3" width="2.33203125" style="85" customWidth="1"/>
    <col min="4" max="4" width="15.33203125" style="86" customWidth="1"/>
    <col min="5" max="6" width="2.33203125" style="85" customWidth="1"/>
    <col min="7" max="7" width="16" style="86" customWidth="1"/>
    <col min="8" max="8" width="2.33203125" style="85" customWidth="1"/>
    <col min="9" max="9" width="5.83203125" style="85" customWidth="1"/>
    <col min="10" max="10" width="16.83203125" style="86" customWidth="1"/>
    <col min="11" max="11" width="1.1640625" style="85" customWidth="1"/>
    <col min="12" max="12" width="2.33203125" style="85" customWidth="1"/>
    <col min="13" max="13" width="20.1640625" style="86" customWidth="1"/>
    <col min="14" max="16" width="16.83203125" style="85" customWidth="1"/>
    <col min="17" max="16384" width="9.33203125" style="85"/>
  </cols>
  <sheetData>
    <row r="1" spans="1:16" ht="12.6" customHeight="1" x14ac:dyDescent="0.2">
      <c r="A1" s="824" t="s">
        <v>1155</v>
      </c>
      <c r="E1" s="1240">
        <f>FST!E1</f>
        <v>0</v>
      </c>
      <c r="F1" s="1255"/>
      <c r="G1" s="1255"/>
      <c r="H1" s="1255"/>
      <c r="I1" s="1255"/>
      <c r="J1" s="1255"/>
      <c r="K1" s="1255"/>
      <c r="L1" s="1255"/>
      <c r="M1" s="1255"/>
    </row>
    <row r="2" spans="1:16" s="33" customFormat="1" ht="36" customHeight="1" x14ac:dyDescent="0.2">
      <c r="A2" s="824" t="s">
        <v>770</v>
      </c>
      <c r="B2" s="31"/>
      <c r="C2" s="32"/>
      <c r="D2" s="32"/>
      <c r="E2" s="1240" t="str">
        <f>FST!E2</f>
        <v/>
      </c>
      <c r="F2" s="1255"/>
      <c r="G2" s="1255"/>
      <c r="H2" s="1255"/>
      <c r="I2" s="1255"/>
      <c r="J2" s="1255"/>
      <c r="K2" s="1255"/>
      <c r="L2" s="1255"/>
      <c r="M2" s="1255"/>
    </row>
    <row r="3" spans="1:16" s="33" customFormat="1" ht="13.5" customHeight="1" x14ac:dyDescent="0.2">
      <c r="A3" s="824" t="s">
        <v>771</v>
      </c>
      <c r="B3" s="31"/>
      <c r="C3" s="32"/>
      <c r="D3" s="32"/>
      <c r="E3" s="1249">
        <f>FST!E3</f>
        <v>0</v>
      </c>
      <c r="F3" s="1177"/>
      <c r="G3" s="1177"/>
      <c r="H3" s="1177"/>
      <c r="I3" s="1177"/>
      <c r="J3" s="1177"/>
      <c r="K3" s="1177"/>
      <c r="L3" s="1177"/>
      <c r="M3" s="1177"/>
    </row>
    <row r="4" spans="1:16" s="33" customFormat="1" ht="12.6" customHeight="1" x14ac:dyDescent="0.2">
      <c r="A4" s="824" t="s">
        <v>773</v>
      </c>
      <c r="B4" s="31"/>
      <c r="C4" s="32"/>
      <c r="D4" s="32"/>
      <c r="E4" s="1251">
        <f>FST!E4</f>
        <v>0</v>
      </c>
      <c r="F4" s="1188"/>
      <c r="G4" s="1188"/>
      <c r="H4" s="1188"/>
      <c r="I4" s="1188"/>
      <c r="J4" s="1188"/>
      <c r="K4" s="1188"/>
      <c r="L4" s="1188"/>
      <c r="M4" s="1188"/>
    </row>
    <row r="5" spans="1:16" s="33" customFormat="1" ht="12.6" customHeight="1" x14ac:dyDescent="0.2">
      <c r="A5" s="825" t="s">
        <v>774</v>
      </c>
      <c r="B5" s="31"/>
      <c r="C5" s="32"/>
      <c r="D5" s="32"/>
      <c r="E5" s="1249">
        <f>FST!E5</f>
        <v>0</v>
      </c>
      <c r="F5" s="1177"/>
      <c r="G5" s="1177"/>
      <c r="H5" s="1177"/>
      <c r="I5" s="1177"/>
      <c r="J5" s="1177"/>
      <c r="K5" s="1177"/>
      <c r="L5" s="1177"/>
      <c r="M5" s="1177"/>
    </row>
    <row r="6" spans="1:16" s="33" customFormat="1" ht="12.6" customHeight="1" x14ac:dyDescent="0.2">
      <c r="A6" s="826" t="s">
        <v>775</v>
      </c>
      <c r="B6" s="31"/>
      <c r="C6" s="32"/>
      <c r="D6" s="32"/>
      <c r="E6" s="1253">
        <f>FST!E6</f>
        <v>0</v>
      </c>
      <c r="F6" s="1193"/>
      <c r="G6" s="1193"/>
      <c r="H6" s="1193"/>
      <c r="I6" s="1193"/>
      <c r="J6" s="1193"/>
      <c r="K6" s="1193"/>
      <c r="L6" s="1193"/>
      <c r="M6" s="1193"/>
    </row>
    <row r="7" spans="1:16" s="33" customFormat="1" ht="12.6" customHeight="1" x14ac:dyDescent="0.2">
      <c r="A7" s="76" t="s">
        <v>801</v>
      </c>
      <c r="B7" s="34"/>
    </row>
    <row r="8" spans="1:16" s="33" customFormat="1" ht="12.6" customHeight="1" x14ac:dyDescent="0.2">
      <c r="A8" s="827" t="s">
        <v>1734</v>
      </c>
      <c r="B8" s="34"/>
    </row>
    <row r="9" spans="1:16" s="33" customFormat="1" ht="12.6" customHeight="1" x14ac:dyDescent="0.2">
      <c r="A9" s="827"/>
      <c r="B9" s="34"/>
    </row>
    <row r="10" spans="1:16" s="33" customFormat="1" ht="56.25" customHeight="1" x14ac:dyDescent="0.2">
      <c r="A10" s="1271" t="s">
        <v>1696</v>
      </c>
      <c r="B10" s="1264"/>
      <c r="C10" s="1264"/>
      <c r="D10" s="1264"/>
      <c r="E10" s="1264"/>
      <c r="F10" s="1264"/>
      <c r="G10" s="1264"/>
      <c r="H10" s="1264"/>
      <c r="I10" s="1264"/>
      <c r="J10" s="1264"/>
      <c r="K10" s="1264"/>
      <c r="L10" s="1264"/>
      <c r="M10" s="1264"/>
      <c r="N10" s="85"/>
    </row>
    <row r="11" spans="1:16" s="33" customFormat="1" ht="12.6" customHeight="1" x14ac:dyDescent="0.2">
      <c r="A11" s="249"/>
      <c r="B11" s="35"/>
      <c r="C11" s="36"/>
      <c r="D11" s="36"/>
      <c r="E11" s="36"/>
      <c r="F11" s="36"/>
      <c r="G11" s="36"/>
      <c r="H11" s="36"/>
      <c r="I11" s="36"/>
      <c r="J11" s="36"/>
      <c r="K11" s="36"/>
      <c r="L11" s="36"/>
      <c r="M11" s="36"/>
      <c r="N11" s="85"/>
    </row>
    <row r="12" spans="1:16" s="78" customFormat="1" ht="12.6" customHeight="1" x14ac:dyDescent="0.2">
      <c r="A12" s="827"/>
      <c r="B12" s="77"/>
      <c r="C12" s="77"/>
      <c r="D12" s="77"/>
      <c r="F12" s="79"/>
      <c r="G12" s="80"/>
      <c r="I12" s="79"/>
      <c r="J12" s="80"/>
      <c r="L12" s="79"/>
      <c r="M12" s="81"/>
    </row>
    <row r="13" spans="1:16" s="78" customFormat="1" ht="12.6" customHeight="1" x14ac:dyDescent="0.2">
      <c r="A13" s="827" t="s">
        <v>667</v>
      </c>
      <c r="B13" s="77"/>
      <c r="C13" s="77"/>
      <c r="D13" s="77"/>
      <c r="F13" s="79"/>
      <c r="G13" s="80"/>
      <c r="I13" s="79"/>
      <c r="J13" s="80"/>
      <c r="L13" s="79"/>
      <c r="M13" s="81"/>
    </row>
    <row r="14" spans="1:16" s="78" customFormat="1" ht="11.25" x14ac:dyDescent="0.2">
      <c r="A14" s="1086"/>
      <c r="C14" s="1314" t="s">
        <v>93</v>
      </c>
      <c r="D14" s="1314"/>
      <c r="E14" s="81"/>
      <c r="F14" s="82"/>
      <c r="G14" s="82"/>
      <c r="H14" s="81"/>
      <c r="I14" s="82"/>
      <c r="J14" s="82"/>
      <c r="K14" s="81"/>
      <c r="L14" s="1313"/>
      <c r="M14" s="1313"/>
    </row>
    <row r="15" spans="1:16" s="78" customFormat="1" ht="12.6" customHeight="1" x14ac:dyDescent="0.2">
      <c r="C15" s="1321" t="s">
        <v>1737</v>
      </c>
      <c r="D15" s="1313"/>
      <c r="E15" s="81"/>
      <c r="F15" s="82"/>
      <c r="G15" s="83" t="s">
        <v>94</v>
      </c>
      <c r="H15" s="81"/>
      <c r="I15" s="82"/>
      <c r="J15" s="82" t="s">
        <v>95</v>
      </c>
      <c r="K15" s="81"/>
      <c r="L15" s="1313" t="s">
        <v>93</v>
      </c>
      <c r="M15" s="1313"/>
      <c r="P15" s="516" t="s">
        <v>694</v>
      </c>
    </row>
    <row r="16" spans="1:16" s="78" customFormat="1" ht="12" customHeight="1" x14ac:dyDescent="0.2">
      <c r="C16" s="1312" t="s">
        <v>386</v>
      </c>
      <c r="D16" s="1312"/>
      <c r="E16" s="81"/>
      <c r="F16" s="84"/>
      <c r="G16" s="84" t="s">
        <v>386</v>
      </c>
      <c r="H16" s="81"/>
      <c r="I16" s="84"/>
      <c r="J16" s="84" t="s">
        <v>179</v>
      </c>
      <c r="K16" s="81"/>
      <c r="L16" s="1324" t="s">
        <v>1740</v>
      </c>
      <c r="M16" s="1325"/>
      <c r="N16" s="424"/>
      <c r="O16" s="426" t="s">
        <v>818</v>
      </c>
      <c r="P16" s="516" t="s">
        <v>1437</v>
      </c>
    </row>
    <row r="17" spans="1:16" ht="12.6" customHeight="1" x14ac:dyDescent="0.2">
      <c r="A17" s="85" t="s">
        <v>243</v>
      </c>
      <c r="N17" s="423"/>
    </row>
    <row r="18" spans="1:16" ht="12.6" customHeight="1" x14ac:dyDescent="0.2">
      <c r="A18" s="85" t="s">
        <v>191</v>
      </c>
      <c r="C18" s="87" t="s">
        <v>503</v>
      </c>
      <c r="D18" s="112"/>
      <c r="E18" s="88"/>
      <c r="F18" s="88" t="s">
        <v>503</v>
      </c>
      <c r="G18" s="112"/>
      <c r="H18" s="88"/>
      <c r="I18" s="88" t="s">
        <v>503</v>
      </c>
      <c r="J18" s="112"/>
      <c r="K18" s="88"/>
      <c r="L18" s="88" t="s">
        <v>503</v>
      </c>
      <c r="M18" s="115">
        <f>SUM(D18,G18,J18)</f>
        <v>0</v>
      </c>
      <c r="N18" s="423"/>
      <c r="O18" s="423"/>
      <c r="P18" s="423"/>
    </row>
    <row r="19" spans="1:16" ht="12.6" customHeight="1" x14ac:dyDescent="0.2">
      <c r="A19" s="85" t="s">
        <v>193</v>
      </c>
      <c r="C19" s="87"/>
      <c r="D19" s="112"/>
      <c r="E19" s="89"/>
      <c r="F19" s="89"/>
      <c r="G19" s="112"/>
      <c r="H19" s="89"/>
      <c r="I19" s="89"/>
      <c r="J19" s="112"/>
      <c r="K19" s="88"/>
      <c r="L19" s="88"/>
      <c r="M19" s="115">
        <f>SUM(D19,G19,J19)</f>
        <v>0</v>
      </c>
      <c r="N19" s="423"/>
      <c r="O19" s="423"/>
      <c r="P19" s="423"/>
    </row>
    <row r="20" spans="1:16" ht="12.6" customHeight="1" x14ac:dyDescent="0.2">
      <c r="A20" s="85" t="s">
        <v>914</v>
      </c>
      <c r="C20" s="87"/>
      <c r="D20" s="247"/>
      <c r="E20" s="837"/>
      <c r="F20" s="837"/>
      <c r="G20" s="247"/>
      <c r="H20" s="837"/>
      <c r="I20" s="837"/>
      <c r="J20" s="247"/>
      <c r="K20" s="88"/>
      <c r="L20" s="88"/>
      <c r="M20" s="115"/>
      <c r="N20" s="423"/>
      <c r="O20" s="423"/>
      <c r="P20" s="423"/>
    </row>
    <row r="21" spans="1:16" ht="12.6" customHeight="1" x14ac:dyDescent="0.2">
      <c r="A21" s="85" t="s">
        <v>655</v>
      </c>
      <c r="C21" s="87"/>
      <c r="D21" s="112"/>
      <c r="E21" s="88"/>
      <c r="F21" s="88"/>
      <c r="G21" s="112"/>
      <c r="H21" s="88"/>
      <c r="I21" s="88"/>
      <c r="J21" s="112"/>
      <c r="K21" s="88"/>
      <c r="L21" s="88"/>
      <c r="M21" s="115">
        <f>SUM(D21,G21,J21)</f>
        <v>0</v>
      </c>
      <c r="N21" s="423"/>
      <c r="O21" s="423"/>
      <c r="P21" s="423"/>
    </row>
    <row r="22" spans="1:16" ht="12.6" customHeight="1" x14ac:dyDescent="0.2">
      <c r="A22" s="85" t="s">
        <v>194</v>
      </c>
      <c r="C22" s="87"/>
      <c r="D22" s="112"/>
      <c r="E22" s="88"/>
      <c r="F22" s="90"/>
      <c r="G22" s="112"/>
      <c r="H22" s="88"/>
      <c r="I22" s="90"/>
      <c r="J22" s="112"/>
      <c r="K22" s="88"/>
      <c r="L22" s="90"/>
      <c r="M22" s="115">
        <f>SUM(D22,G22,J22)</f>
        <v>0</v>
      </c>
      <c r="N22" s="423"/>
      <c r="O22" s="423"/>
      <c r="P22" s="423"/>
    </row>
    <row r="23" spans="1:16" ht="12.6" customHeight="1" x14ac:dyDescent="0.2">
      <c r="A23" s="85" t="s">
        <v>310</v>
      </c>
      <c r="C23" s="87"/>
      <c r="D23" s="277"/>
      <c r="E23" s="89"/>
      <c r="F23" s="837"/>
      <c r="G23" s="277"/>
      <c r="H23" s="89"/>
      <c r="I23" s="837"/>
      <c r="J23" s="277"/>
      <c r="K23" s="89"/>
      <c r="L23" s="837"/>
      <c r="M23" s="113"/>
      <c r="N23" s="423"/>
      <c r="O23" s="423"/>
      <c r="P23" s="423"/>
    </row>
    <row r="24" spans="1:16" ht="30.75" customHeight="1" x14ac:dyDescent="0.2">
      <c r="A24" s="1063"/>
      <c r="C24" s="87"/>
      <c r="D24" s="112"/>
      <c r="E24" s="88"/>
      <c r="F24" s="90"/>
      <c r="G24" s="112"/>
      <c r="H24" s="88"/>
      <c r="I24" s="90"/>
      <c r="J24" s="112"/>
      <c r="K24" s="88"/>
      <c r="L24" s="90"/>
      <c r="M24" s="115">
        <f>SUM(D24,G24,J24)</f>
        <v>0</v>
      </c>
      <c r="N24" s="423"/>
      <c r="O24" s="423"/>
      <c r="P24" s="423"/>
    </row>
    <row r="25" spans="1:16" ht="12.6" customHeight="1" x14ac:dyDescent="0.2">
      <c r="A25" s="85" t="s">
        <v>244</v>
      </c>
      <c r="C25" s="87"/>
      <c r="D25" s="114">
        <f>SUM(D18:D24)</f>
        <v>0</v>
      </c>
      <c r="E25" s="88"/>
      <c r="F25" s="90"/>
      <c r="G25" s="114">
        <f>SUM(G18:G24)</f>
        <v>0</v>
      </c>
      <c r="H25" s="88"/>
      <c r="I25" s="90"/>
      <c r="J25" s="114">
        <f>SUM(J18:J24)</f>
        <v>0</v>
      </c>
      <c r="K25" s="88"/>
      <c r="L25" s="90"/>
      <c r="M25" s="114">
        <f>IF(SUM(M18:M24)=FST!G101,SUM(M18:M24),"ERROR")</f>
        <v>0</v>
      </c>
      <c r="N25" s="423"/>
      <c r="O25" s="423">
        <f>SUM(D25,G25,J25)</f>
        <v>0</v>
      </c>
      <c r="P25" s="423">
        <f>FST!G101-'TAB 3, Capital Assets'!O25</f>
        <v>0</v>
      </c>
    </row>
    <row r="26" spans="1:16" ht="11.25" x14ac:dyDescent="0.2">
      <c r="C26" s="87"/>
      <c r="D26" s="92"/>
      <c r="E26" s="87"/>
      <c r="F26" s="87"/>
      <c r="G26" s="92"/>
      <c r="H26" s="87"/>
      <c r="I26" s="87"/>
      <c r="J26" s="92"/>
      <c r="K26" s="87"/>
      <c r="L26" s="87"/>
      <c r="M26" s="93"/>
    </row>
    <row r="27" spans="1:16" ht="35.25" customHeight="1" x14ac:dyDescent="0.2">
      <c r="A27" s="85" t="s">
        <v>1416</v>
      </c>
      <c r="C27" s="87"/>
      <c r="D27" s="92"/>
      <c r="E27" s="87"/>
      <c r="F27" s="87"/>
      <c r="G27" s="92"/>
      <c r="H27" s="87"/>
      <c r="I27" s="87"/>
      <c r="J27" s="92"/>
      <c r="K27" s="87"/>
      <c r="L27" s="87"/>
      <c r="M27" s="92"/>
      <c r="N27" s="343"/>
      <c r="O27" s="425"/>
      <c r="P27" s="517"/>
    </row>
    <row r="28" spans="1:16" ht="12.6" customHeight="1" x14ac:dyDescent="0.2">
      <c r="A28" s="85" t="s">
        <v>195</v>
      </c>
      <c r="C28" s="87"/>
      <c r="D28" s="112"/>
      <c r="E28" s="88"/>
      <c r="F28" s="88"/>
      <c r="G28" s="112"/>
      <c r="H28" s="88"/>
      <c r="I28" s="88"/>
      <c r="J28" s="112"/>
      <c r="K28" s="88"/>
      <c r="L28" s="88"/>
      <c r="M28" s="115">
        <f>SUM(D28,G28,J28)</f>
        <v>0</v>
      </c>
      <c r="N28" s="247"/>
      <c r="O28" s="423"/>
      <c r="P28" s="1004"/>
    </row>
    <row r="29" spans="1:16" ht="12.6" customHeight="1" x14ac:dyDescent="0.2">
      <c r="A29" s="85" t="s">
        <v>718</v>
      </c>
      <c r="C29" s="87"/>
      <c r="D29" s="112"/>
      <c r="E29" s="88"/>
      <c r="F29" s="88"/>
      <c r="G29" s="112"/>
      <c r="H29" s="88"/>
      <c r="I29" s="88"/>
      <c r="J29" s="112"/>
      <c r="K29" s="88"/>
      <c r="L29" s="88"/>
      <c r="M29" s="115">
        <f>SUM(D29,G29,J29)</f>
        <v>0</v>
      </c>
      <c r="N29" s="247"/>
      <c r="O29" s="423"/>
      <c r="P29" s="1004"/>
    </row>
    <row r="30" spans="1:16" ht="12.6" customHeight="1" x14ac:dyDescent="0.2">
      <c r="A30" s="85" t="s">
        <v>237</v>
      </c>
      <c r="C30" s="87"/>
      <c r="D30" s="112"/>
      <c r="E30" s="88"/>
      <c r="F30" s="88"/>
      <c r="G30" s="112"/>
      <c r="H30" s="88"/>
      <c r="I30" s="88"/>
      <c r="J30" s="112"/>
      <c r="K30" s="88"/>
      <c r="L30" s="88"/>
      <c r="M30" s="115">
        <f>SUM(D30,G30,J30)</f>
        <v>0</v>
      </c>
      <c r="N30" s="247"/>
      <c r="O30" s="423"/>
      <c r="P30" s="1004"/>
    </row>
    <row r="31" spans="1:16" ht="12.6" customHeight="1" x14ac:dyDescent="0.2">
      <c r="A31" s="85" t="s">
        <v>656</v>
      </c>
      <c r="C31" s="87"/>
      <c r="D31" s="112"/>
      <c r="E31" s="88"/>
      <c r="F31" s="88"/>
      <c r="G31" s="112"/>
      <c r="H31" s="88"/>
      <c r="I31" s="88"/>
      <c r="J31" s="112"/>
      <c r="K31" s="88"/>
      <c r="L31" s="88"/>
      <c r="M31" s="115">
        <f>SUM(D31,G31,J31)</f>
        <v>0</v>
      </c>
      <c r="N31" s="247"/>
      <c r="O31" s="423"/>
      <c r="P31" s="1004"/>
    </row>
    <row r="32" spans="1:16" ht="12.6" customHeight="1" x14ac:dyDescent="0.2">
      <c r="A32" s="85" t="s">
        <v>915</v>
      </c>
      <c r="C32" s="87"/>
      <c r="D32" s="113"/>
      <c r="E32" s="89"/>
      <c r="F32" s="89"/>
      <c r="G32" s="113"/>
      <c r="H32" s="89"/>
      <c r="I32" s="89"/>
      <c r="J32" s="113"/>
      <c r="K32" s="88"/>
      <c r="L32" s="88"/>
      <c r="M32" s="115"/>
      <c r="N32" s="247"/>
      <c r="O32" s="423"/>
      <c r="P32" s="1005"/>
    </row>
    <row r="33" spans="1:16" ht="12.6" customHeight="1" x14ac:dyDescent="0.2">
      <c r="A33" s="85" t="s">
        <v>655</v>
      </c>
      <c r="C33" s="87"/>
      <c r="D33" s="112"/>
      <c r="E33" s="88"/>
      <c r="F33" s="88"/>
      <c r="G33" s="112"/>
      <c r="H33" s="88"/>
      <c r="I33" s="88"/>
      <c r="J33" s="112"/>
      <c r="K33" s="88"/>
      <c r="L33" s="88"/>
      <c r="M33" s="115">
        <f>SUM(D33,G33,J33)</f>
        <v>0</v>
      </c>
      <c r="N33" s="247"/>
      <c r="O33" s="423"/>
      <c r="P33" s="1004"/>
    </row>
    <row r="34" spans="1:16" ht="12.6" customHeight="1" x14ac:dyDescent="0.2">
      <c r="A34" s="85" t="s">
        <v>719</v>
      </c>
      <c r="C34" s="87"/>
      <c r="D34" s="112"/>
      <c r="E34" s="88"/>
      <c r="F34" s="88"/>
      <c r="G34" s="112"/>
      <c r="H34" s="88"/>
      <c r="I34" s="88"/>
      <c r="J34" s="112"/>
      <c r="K34" s="88"/>
      <c r="L34" s="88"/>
      <c r="M34" s="115">
        <f>SUM(D34,G34,J34)</f>
        <v>0</v>
      </c>
      <c r="N34" s="247"/>
      <c r="O34" s="423"/>
      <c r="P34" s="1004"/>
    </row>
    <row r="35" spans="1:16" ht="12.6" customHeight="1" x14ac:dyDescent="0.2">
      <c r="A35" s="149" t="s">
        <v>1320</v>
      </c>
      <c r="C35" s="87"/>
      <c r="D35" s="246"/>
      <c r="E35" s="89"/>
      <c r="F35" s="89"/>
      <c r="G35" s="246"/>
      <c r="H35" s="89"/>
      <c r="I35" s="89"/>
      <c r="J35" s="246"/>
      <c r="K35" s="88"/>
      <c r="L35" s="88"/>
      <c r="M35" s="115"/>
      <c r="N35" s="247"/>
      <c r="O35" s="423"/>
      <c r="P35" s="1004"/>
    </row>
    <row r="36" spans="1:16" ht="12.6" customHeight="1" x14ac:dyDescent="0.2">
      <c r="A36" s="149" t="s">
        <v>205</v>
      </c>
      <c r="C36" s="87"/>
      <c r="D36" s="112"/>
      <c r="E36" s="88"/>
      <c r="F36" s="88"/>
      <c r="G36" s="112"/>
      <c r="H36" s="88"/>
      <c r="I36" s="88"/>
      <c r="J36" s="112"/>
      <c r="K36" s="88"/>
      <c r="L36" s="88"/>
      <c r="M36" s="115">
        <f>SUM(D36,G36,J36)</f>
        <v>0</v>
      </c>
      <c r="N36" s="247"/>
      <c r="O36" s="423"/>
      <c r="P36" s="1004"/>
    </row>
    <row r="37" spans="1:16" ht="12.6" customHeight="1" x14ac:dyDescent="0.2">
      <c r="A37" s="149" t="s">
        <v>249</v>
      </c>
      <c r="C37" s="87"/>
      <c r="D37" s="112"/>
      <c r="E37" s="88"/>
      <c r="F37" s="88"/>
      <c r="G37" s="112"/>
      <c r="H37" s="88"/>
      <c r="I37" s="88"/>
      <c r="J37" s="112"/>
      <c r="K37" s="88"/>
      <c r="L37" s="88"/>
      <c r="M37" s="115">
        <f>SUM(D37,G37,J37)</f>
        <v>0</v>
      </c>
      <c r="N37" s="247"/>
      <c r="O37" s="423"/>
      <c r="P37" s="1004"/>
    </row>
    <row r="38" spans="1:16" ht="12.6" customHeight="1" x14ac:dyDescent="0.2">
      <c r="A38" s="149" t="s">
        <v>250</v>
      </c>
      <c r="C38" s="87"/>
      <c r="D38" s="112"/>
      <c r="E38" s="88"/>
      <c r="F38" s="88"/>
      <c r="G38" s="112"/>
      <c r="H38" s="88"/>
      <c r="I38" s="88"/>
      <c r="J38" s="112"/>
      <c r="K38" s="88"/>
      <c r="L38" s="88"/>
      <c r="M38" s="115">
        <f>SUM(D38,G38,J38)</f>
        <v>0</v>
      </c>
      <c r="N38" s="247"/>
      <c r="O38" s="423"/>
      <c r="P38" s="1004"/>
    </row>
    <row r="39" spans="1:16" ht="12.6" customHeight="1" x14ac:dyDescent="0.2">
      <c r="A39" s="149" t="s">
        <v>251</v>
      </c>
      <c r="C39" s="87"/>
      <c r="D39" s="246"/>
      <c r="E39" s="89"/>
      <c r="F39" s="89"/>
      <c r="G39" s="246"/>
      <c r="H39" s="89"/>
      <c r="I39" s="89"/>
      <c r="J39" s="246"/>
      <c r="K39" s="88"/>
      <c r="L39" s="88"/>
      <c r="M39" s="115"/>
      <c r="N39" s="247"/>
      <c r="O39" s="423"/>
      <c r="P39" s="1004"/>
    </row>
    <row r="40" spans="1:16" ht="30.75" customHeight="1" x14ac:dyDescent="0.2">
      <c r="A40" s="1063"/>
      <c r="C40" s="87"/>
      <c r="D40" s="112"/>
      <c r="E40" s="88"/>
      <c r="F40" s="88"/>
      <c r="G40" s="112"/>
      <c r="H40" s="88"/>
      <c r="I40" s="88"/>
      <c r="J40" s="112"/>
      <c r="K40" s="88"/>
      <c r="L40" s="88"/>
      <c r="M40" s="115">
        <f>SUM(D40,G40,J40)</f>
        <v>0</v>
      </c>
      <c r="N40" s="247"/>
      <c r="O40" s="423"/>
      <c r="P40" s="423"/>
    </row>
    <row r="41" spans="1:16" ht="11.25" x14ac:dyDescent="0.2">
      <c r="A41" s="85" t="s">
        <v>1523</v>
      </c>
      <c r="C41" s="87"/>
      <c r="D41" s="1062"/>
      <c r="E41" s="999"/>
      <c r="F41" s="999"/>
      <c r="G41" s="1062"/>
      <c r="H41" s="999"/>
      <c r="I41" s="999"/>
      <c r="J41" s="1062"/>
      <c r="K41" s="88"/>
      <c r="L41" s="88"/>
      <c r="M41" s="115"/>
      <c r="N41" s="247"/>
      <c r="O41" s="423"/>
      <c r="P41" s="423"/>
    </row>
    <row r="42" spans="1:16" ht="11.25" x14ac:dyDescent="0.2">
      <c r="A42" s="624" t="s">
        <v>1431</v>
      </c>
      <c r="C42" s="87"/>
      <c r="D42" s="1000"/>
      <c r="E42" s="89"/>
      <c r="F42" s="89"/>
      <c r="G42" s="1000"/>
      <c r="H42" s="89"/>
      <c r="I42" s="89"/>
      <c r="J42" s="1000"/>
      <c r="K42" s="88"/>
      <c r="L42" s="88"/>
      <c r="M42" s="115">
        <f>SUM(D42,G42,J42)</f>
        <v>0</v>
      </c>
      <c r="N42" s="247"/>
      <c r="O42" s="423"/>
      <c r="P42" s="423"/>
    </row>
    <row r="43" spans="1:16" ht="11.25" x14ac:dyDescent="0.2">
      <c r="A43" s="624" t="s">
        <v>1418</v>
      </c>
      <c r="C43" s="87"/>
      <c r="D43" s="1000"/>
      <c r="E43" s="89"/>
      <c r="F43" s="89"/>
      <c r="G43" s="1000"/>
      <c r="H43" s="89"/>
      <c r="I43" s="89"/>
      <c r="J43" s="1000"/>
      <c r="K43" s="88"/>
      <c r="L43" s="88"/>
      <c r="M43" s="115">
        <f>SUM(D43,G43,J43)</f>
        <v>0</v>
      </c>
      <c r="N43" s="247"/>
      <c r="O43" s="423"/>
      <c r="P43" s="423"/>
    </row>
    <row r="44" spans="1:16" ht="11.25" x14ac:dyDescent="0.2">
      <c r="A44" s="624" t="s">
        <v>1419</v>
      </c>
      <c r="C44" s="87"/>
      <c r="D44" s="1000"/>
      <c r="E44" s="89"/>
      <c r="F44" s="89"/>
      <c r="G44" s="1000"/>
      <c r="H44" s="89"/>
      <c r="I44" s="89"/>
      <c r="J44" s="1000"/>
      <c r="K44" s="88"/>
      <c r="L44" s="88"/>
      <c r="M44" s="115">
        <f>SUM(D44,G44,J44)</f>
        <v>0</v>
      </c>
      <c r="N44" s="247"/>
      <c r="O44" s="423"/>
      <c r="P44" s="423"/>
    </row>
    <row r="45" spans="1:16" ht="11.25" x14ac:dyDescent="0.2">
      <c r="A45" s="624" t="s">
        <v>1420</v>
      </c>
      <c r="C45" s="87"/>
      <c r="D45" s="1000"/>
      <c r="E45" s="89"/>
      <c r="F45" s="89"/>
      <c r="G45" s="1000"/>
      <c r="H45" s="89"/>
      <c r="I45" s="89"/>
      <c r="J45" s="1000"/>
      <c r="K45" s="88"/>
      <c r="L45" s="88"/>
      <c r="M45" s="115">
        <f>SUM(D45,G45,J45)</f>
        <v>0</v>
      </c>
      <c r="N45" s="247"/>
      <c r="O45" s="423"/>
      <c r="P45" s="423"/>
    </row>
    <row r="46" spans="1:16" ht="11.25" x14ac:dyDescent="0.2">
      <c r="A46" s="624" t="s">
        <v>1421</v>
      </c>
      <c r="C46" s="87"/>
      <c r="D46" s="277"/>
      <c r="E46" s="89"/>
      <c r="F46" s="89"/>
      <c r="G46" s="277"/>
      <c r="H46" s="89"/>
      <c r="I46" s="89"/>
      <c r="J46" s="277"/>
      <c r="K46" s="88"/>
      <c r="L46" s="88"/>
      <c r="M46" s="115"/>
      <c r="N46" s="247"/>
      <c r="O46" s="423"/>
      <c r="P46" s="423"/>
    </row>
    <row r="47" spans="1:16" ht="30.75" customHeight="1" x14ac:dyDescent="0.2">
      <c r="A47" s="1063"/>
      <c r="C47" s="87"/>
      <c r="D47" s="112"/>
      <c r="E47" s="89"/>
      <c r="F47" s="89"/>
      <c r="G47" s="112"/>
      <c r="H47" s="89"/>
      <c r="I47" s="89"/>
      <c r="J47" s="112"/>
      <c r="K47" s="88"/>
      <c r="L47" s="88"/>
      <c r="M47" s="115">
        <f>SUM(D47,G47,J47)</f>
        <v>0</v>
      </c>
      <c r="N47" s="247"/>
      <c r="O47" s="423"/>
      <c r="P47" s="423"/>
    </row>
    <row r="48" spans="1:16" ht="30.75" customHeight="1" x14ac:dyDescent="0.2">
      <c r="A48" s="1065" t="s">
        <v>1580</v>
      </c>
      <c r="C48" s="87"/>
      <c r="D48" s="112"/>
      <c r="E48" s="89"/>
      <c r="F48" s="89"/>
      <c r="G48" s="112"/>
      <c r="H48" s="89"/>
      <c r="I48" s="89"/>
      <c r="J48" s="112"/>
      <c r="K48" s="88"/>
      <c r="L48" s="88"/>
      <c r="M48" s="115">
        <f>SUM(D48,G48,J48)</f>
        <v>0</v>
      </c>
      <c r="N48" s="247"/>
      <c r="O48" s="423"/>
      <c r="P48" s="423"/>
    </row>
    <row r="49" spans="1:16" ht="30.75" customHeight="1" x14ac:dyDescent="0.2">
      <c r="A49" s="1065" t="s">
        <v>1549</v>
      </c>
      <c r="C49" s="87"/>
      <c r="D49" s="112"/>
      <c r="E49" s="89"/>
      <c r="F49" s="89"/>
      <c r="G49" s="112"/>
      <c r="H49" s="89"/>
      <c r="I49" s="89"/>
      <c r="J49" s="112"/>
      <c r="K49" s="88"/>
      <c r="L49" s="88"/>
      <c r="M49" s="115">
        <f>SUM(D49,G49,J49)</f>
        <v>0</v>
      </c>
      <c r="N49" s="247"/>
      <c r="O49" s="423"/>
      <c r="P49" s="423"/>
    </row>
    <row r="50" spans="1:16" ht="12.6" customHeight="1" x14ac:dyDescent="0.2">
      <c r="A50" s="338" t="s">
        <v>1521</v>
      </c>
      <c r="C50" s="87"/>
      <c r="D50" s="114">
        <f>SUM(D28:D49)</f>
        <v>0</v>
      </c>
      <c r="E50" s="88"/>
      <c r="F50" s="90"/>
      <c r="G50" s="114">
        <f>SUM(G28:G49)</f>
        <v>0</v>
      </c>
      <c r="H50" s="88"/>
      <c r="I50" s="90"/>
      <c r="J50" s="114">
        <f>SUM(J28:J49)</f>
        <v>0</v>
      </c>
      <c r="K50" s="88"/>
      <c r="L50" s="90"/>
      <c r="M50" s="114">
        <f>SUM(M28:M49)</f>
        <v>0</v>
      </c>
      <c r="N50" s="398"/>
      <c r="O50" s="423"/>
      <c r="P50" s="1004"/>
    </row>
    <row r="51" spans="1:16" ht="12.6" customHeight="1" x14ac:dyDescent="0.2">
      <c r="A51" s="94"/>
    </row>
    <row r="52" spans="1:16" ht="12.6" customHeight="1" x14ac:dyDescent="0.2">
      <c r="A52" s="95" t="s">
        <v>246</v>
      </c>
    </row>
    <row r="53" spans="1:16" ht="12.6" customHeight="1" x14ac:dyDescent="0.2">
      <c r="A53" s="85" t="s">
        <v>195</v>
      </c>
      <c r="D53" s="116"/>
      <c r="G53" s="116"/>
      <c r="J53" s="116"/>
      <c r="M53" s="115">
        <f>SUM(D53,G53,J53)</f>
        <v>0</v>
      </c>
    </row>
    <row r="54" spans="1:16" ht="12.6" customHeight="1" x14ac:dyDescent="0.2">
      <c r="A54" s="85" t="s">
        <v>718</v>
      </c>
      <c r="D54" s="116"/>
      <c r="G54" s="116"/>
      <c r="J54" s="116"/>
      <c r="M54" s="115">
        <f>SUM(D54,G54,J54)</f>
        <v>0</v>
      </c>
    </row>
    <row r="55" spans="1:16" ht="12.6" customHeight="1" x14ac:dyDescent="0.2">
      <c r="A55" s="85" t="s">
        <v>237</v>
      </c>
      <c r="D55" s="116"/>
      <c r="G55" s="116"/>
      <c r="J55" s="116"/>
      <c r="M55" s="115">
        <f>SUM(D55,G55,J55)</f>
        <v>0</v>
      </c>
    </row>
    <row r="56" spans="1:16" ht="12.6" customHeight="1" x14ac:dyDescent="0.2">
      <c r="A56" s="85" t="s">
        <v>656</v>
      </c>
      <c r="D56" s="116"/>
      <c r="G56" s="116"/>
      <c r="J56" s="116"/>
      <c r="M56" s="115">
        <f>SUM(D56,G56,J56)</f>
        <v>0</v>
      </c>
    </row>
    <row r="57" spans="1:16" ht="12.6" customHeight="1" x14ac:dyDescent="0.2">
      <c r="A57" s="85" t="s">
        <v>915</v>
      </c>
      <c r="D57" s="117"/>
      <c r="G57" s="117"/>
      <c r="J57" s="117"/>
      <c r="M57" s="113"/>
    </row>
    <row r="58" spans="1:16" ht="12.6" customHeight="1" x14ac:dyDescent="0.2">
      <c r="A58" s="85" t="s">
        <v>655</v>
      </c>
      <c r="D58" s="116"/>
      <c r="G58" s="116"/>
      <c r="J58" s="116"/>
      <c r="M58" s="115">
        <f>SUM(D58,G58,J58)</f>
        <v>0</v>
      </c>
    </row>
    <row r="59" spans="1:16" ht="12.6" customHeight="1" x14ac:dyDescent="0.2">
      <c r="A59" s="85" t="s">
        <v>719</v>
      </c>
      <c r="C59" s="87"/>
      <c r="D59" s="112"/>
      <c r="E59" s="88"/>
      <c r="F59" s="90"/>
      <c r="G59" s="112"/>
      <c r="H59" s="88"/>
      <c r="I59" s="90"/>
      <c r="J59" s="112"/>
      <c r="K59" s="88"/>
      <c r="L59" s="90"/>
      <c r="M59" s="248">
        <f>SUM(D59,G59,J59)</f>
        <v>0</v>
      </c>
    </row>
    <row r="60" spans="1:16" ht="12.6" customHeight="1" x14ac:dyDescent="0.2">
      <c r="A60" s="149" t="s">
        <v>1320</v>
      </c>
      <c r="C60" s="87"/>
      <c r="D60" s="246"/>
      <c r="E60" s="89"/>
      <c r="F60" s="837"/>
      <c r="G60" s="246"/>
      <c r="H60" s="89"/>
      <c r="I60" s="837"/>
      <c r="J60" s="246"/>
      <c r="K60" s="88"/>
      <c r="L60" s="90"/>
      <c r="M60" s="248"/>
    </row>
    <row r="61" spans="1:16" ht="12.6" customHeight="1" x14ac:dyDescent="0.2">
      <c r="A61" s="149" t="s">
        <v>205</v>
      </c>
      <c r="C61" s="87"/>
      <c r="D61" s="112"/>
      <c r="E61" s="88"/>
      <c r="F61" s="90"/>
      <c r="G61" s="112"/>
      <c r="H61" s="88"/>
      <c r="I61" s="90"/>
      <c r="J61" s="112"/>
      <c r="K61" s="88"/>
      <c r="L61" s="90"/>
      <c r="M61" s="248">
        <f>SUM(D61,G61,J61)</f>
        <v>0</v>
      </c>
    </row>
    <row r="62" spans="1:16" ht="12.6" customHeight="1" x14ac:dyDescent="0.2">
      <c r="A62" s="149" t="s">
        <v>249</v>
      </c>
      <c r="C62" s="87"/>
      <c r="D62" s="112"/>
      <c r="E62" s="88"/>
      <c r="F62" s="90"/>
      <c r="G62" s="112"/>
      <c r="H62" s="88"/>
      <c r="I62" s="90"/>
      <c r="J62" s="112"/>
      <c r="K62" s="88"/>
      <c r="L62" s="90"/>
      <c r="M62" s="248">
        <f>SUM(D62,G62,J62)</f>
        <v>0</v>
      </c>
    </row>
    <row r="63" spans="1:16" ht="12.6" customHeight="1" x14ac:dyDescent="0.2">
      <c r="A63" s="149" t="s">
        <v>250</v>
      </c>
      <c r="C63" s="87"/>
      <c r="D63" s="112"/>
      <c r="E63" s="88"/>
      <c r="F63" s="90"/>
      <c r="G63" s="112"/>
      <c r="H63" s="88"/>
      <c r="I63" s="90"/>
      <c r="J63" s="112"/>
      <c r="K63" s="88"/>
      <c r="L63" s="90"/>
      <c r="M63" s="248">
        <f>SUM(D63,G63,J63)</f>
        <v>0</v>
      </c>
    </row>
    <row r="64" spans="1:16" ht="12.6" customHeight="1" x14ac:dyDescent="0.2">
      <c r="A64" s="149" t="s">
        <v>251</v>
      </c>
      <c r="C64" s="87"/>
      <c r="D64" s="246"/>
      <c r="E64" s="89"/>
      <c r="F64" s="837"/>
      <c r="G64" s="246"/>
      <c r="H64" s="89"/>
      <c r="I64" s="837"/>
      <c r="J64" s="246"/>
      <c r="K64" s="88"/>
      <c r="L64" s="90"/>
      <c r="M64" s="248"/>
    </row>
    <row r="65" spans="1:16" ht="36" customHeight="1" x14ac:dyDescent="0.2">
      <c r="A65" s="600">
        <f>A40</f>
        <v>0</v>
      </c>
      <c r="C65" s="87"/>
      <c r="D65" s="112"/>
      <c r="E65" s="88"/>
      <c r="F65" s="90"/>
      <c r="G65" s="112"/>
      <c r="H65" s="88"/>
      <c r="I65" s="90"/>
      <c r="J65" s="112"/>
      <c r="K65" s="88"/>
      <c r="L65" s="90"/>
      <c r="M65" s="248">
        <f>SUM(D65,G65,J65)</f>
        <v>0</v>
      </c>
    </row>
    <row r="66" spans="1:16" ht="12.6" customHeight="1" x14ac:dyDescent="0.2">
      <c r="A66" s="85" t="s">
        <v>652</v>
      </c>
      <c r="C66" s="87"/>
      <c r="D66" s="114">
        <f>SUM(D53:D65)</f>
        <v>0</v>
      </c>
      <c r="E66" s="88"/>
      <c r="F66" s="90"/>
      <c r="G66" s="114">
        <f>SUM(G53:G65)</f>
        <v>0</v>
      </c>
      <c r="H66" s="88"/>
      <c r="I66" s="90"/>
      <c r="J66" s="114">
        <f>SUM(J53:J65)</f>
        <v>0</v>
      </c>
      <c r="K66" s="88"/>
      <c r="L66" s="90"/>
      <c r="M66" s="114">
        <f>SUM(M53:M65)</f>
        <v>0</v>
      </c>
    </row>
    <row r="67" spans="1:16" ht="12.6" customHeight="1" x14ac:dyDescent="0.2">
      <c r="A67" s="85" t="s">
        <v>1441</v>
      </c>
      <c r="D67" s="237"/>
      <c r="G67" s="237"/>
      <c r="J67" s="237"/>
      <c r="M67" s="237"/>
    </row>
    <row r="68" spans="1:16" ht="11.25" x14ac:dyDescent="0.2">
      <c r="A68" s="85" t="s">
        <v>1524</v>
      </c>
      <c r="D68" s="237"/>
      <c r="G68" s="237"/>
      <c r="J68" s="237"/>
      <c r="M68" s="237"/>
    </row>
    <row r="69" spans="1:16" ht="12.6" customHeight="1" x14ac:dyDescent="0.2">
      <c r="A69" s="95" t="s">
        <v>1422</v>
      </c>
      <c r="D69" s="1000"/>
      <c r="G69" s="1000"/>
      <c r="J69" s="1000"/>
      <c r="M69" s="248">
        <f t="shared" ref="M69:M72" si="0">SUM(D69,G69,J69)</f>
        <v>0</v>
      </c>
    </row>
    <row r="70" spans="1:16" ht="12.6" customHeight="1" x14ac:dyDescent="0.2">
      <c r="A70" s="85" t="s">
        <v>1423</v>
      </c>
      <c r="D70" s="1000"/>
      <c r="G70" s="1000"/>
      <c r="J70" s="1000"/>
      <c r="M70" s="248">
        <f>SUM(D70,G70,J70)</f>
        <v>0</v>
      </c>
    </row>
    <row r="71" spans="1:16" ht="12.6" customHeight="1" x14ac:dyDescent="0.2">
      <c r="A71" s="85" t="s">
        <v>1424</v>
      </c>
      <c r="D71" s="1000"/>
      <c r="G71" s="1000"/>
      <c r="J71" s="1000"/>
      <c r="M71" s="248">
        <f t="shared" si="0"/>
        <v>0</v>
      </c>
    </row>
    <row r="72" spans="1:16" ht="12.6" customHeight="1" x14ac:dyDescent="0.2">
      <c r="A72" s="85" t="s">
        <v>1425</v>
      </c>
      <c r="D72" s="1000"/>
      <c r="G72" s="1000"/>
      <c r="J72" s="1000"/>
      <c r="M72" s="248">
        <f t="shared" si="0"/>
        <v>0</v>
      </c>
    </row>
    <row r="73" spans="1:16" ht="12.6" customHeight="1" x14ac:dyDescent="0.2">
      <c r="A73" s="85" t="s">
        <v>1426</v>
      </c>
      <c r="D73" s="1000"/>
      <c r="G73" s="1000"/>
      <c r="J73" s="1000"/>
      <c r="M73" s="248">
        <f>SUM(D73,G73,J73)</f>
        <v>0</v>
      </c>
    </row>
    <row r="74" spans="1:16" ht="22.5" customHeight="1" x14ac:dyDescent="0.2">
      <c r="A74" s="847" t="s">
        <v>1697</v>
      </c>
      <c r="D74" s="1000"/>
      <c r="G74" s="1000"/>
      <c r="J74" s="1000"/>
      <c r="M74" s="248">
        <f>SUM(D74,G74,J74)</f>
        <v>0</v>
      </c>
    </row>
    <row r="75" spans="1:16" ht="33" customHeight="1" x14ac:dyDescent="0.2">
      <c r="A75" s="847" t="s">
        <v>1576</v>
      </c>
      <c r="D75" s="1000"/>
      <c r="G75" s="1000"/>
      <c r="J75" s="1000"/>
      <c r="M75" s="248">
        <f>SUM(D75,G75,J75)</f>
        <v>0</v>
      </c>
    </row>
    <row r="76" spans="1:16" ht="12.6" customHeight="1" x14ac:dyDescent="0.2">
      <c r="A76" s="85" t="s">
        <v>1427</v>
      </c>
      <c r="D76" s="1003">
        <f>SUM(D69:D75)</f>
        <v>0</v>
      </c>
      <c r="G76" s="1003">
        <f>SUM(G69:G75)</f>
        <v>0</v>
      </c>
      <c r="J76" s="1003">
        <f>SUM(J69:J75)</f>
        <v>0</v>
      </c>
      <c r="M76" s="119">
        <f>SUM(M69:M75)</f>
        <v>0</v>
      </c>
    </row>
    <row r="77" spans="1:16" ht="12.6" customHeight="1" x14ac:dyDescent="0.2">
      <c r="A77" s="85" t="s">
        <v>1432</v>
      </c>
      <c r="D77" s="119">
        <f>D66+D76</f>
        <v>0</v>
      </c>
      <c r="G77" s="119">
        <f>G66+G76</f>
        <v>0</v>
      </c>
      <c r="J77" s="119">
        <f>J66+J76</f>
        <v>0</v>
      </c>
      <c r="M77" s="119">
        <f>SUM(M66,M76)</f>
        <v>0</v>
      </c>
      <c r="N77" s="91"/>
      <c r="P77" s="516" t="s">
        <v>694</v>
      </c>
    </row>
    <row r="78" spans="1:16" ht="11.25" x14ac:dyDescent="0.2">
      <c r="G78" s="101"/>
      <c r="M78" s="98"/>
      <c r="O78" s="426" t="s">
        <v>818</v>
      </c>
      <c r="P78" s="516" t="s">
        <v>1437</v>
      </c>
    </row>
    <row r="79" spans="1:16" ht="12.6" customHeight="1" x14ac:dyDescent="0.2">
      <c r="A79" s="85" t="s">
        <v>1428</v>
      </c>
      <c r="D79" s="119">
        <f>D50-D77</f>
        <v>0</v>
      </c>
      <c r="G79" s="119">
        <f>G50-G77</f>
        <v>0</v>
      </c>
      <c r="J79" s="119">
        <f>J50-J77</f>
        <v>0</v>
      </c>
      <c r="M79" s="119">
        <f>IF(M50-M77=FST!G115,M50-M77,"ERROR")</f>
        <v>0</v>
      </c>
      <c r="O79" s="423">
        <f>SUM(D79,G79,J79)</f>
        <v>0</v>
      </c>
      <c r="P79" s="423">
        <f>FST!G115-'TAB 3, Capital Assets'!O79</f>
        <v>0</v>
      </c>
    </row>
    <row r="80" spans="1:16" ht="12.6" customHeight="1" thickBot="1" x14ac:dyDescent="0.25">
      <c r="A80" s="1002" t="s">
        <v>1436</v>
      </c>
      <c r="C80" s="87" t="s">
        <v>503</v>
      </c>
      <c r="D80" s="120">
        <f>SUM(D25,D79)</f>
        <v>0</v>
      </c>
      <c r="E80" s="398"/>
      <c r="F80" s="87" t="s">
        <v>503</v>
      </c>
      <c r="G80" s="120">
        <f>SUM(G25,G79)</f>
        <v>0</v>
      </c>
      <c r="I80" s="87" t="s">
        <v>503</v>
      </c>
      <c r="J80" s="120">
        <f>SUM(J25,J79)</f>
        <v>0</v>
      </c>
      <c r="L80" s="87" t="s">
        <v>503</v>
      </c>
      <c r="M80" s="120">
        <f>SUM(M25,M79)</f>
        <v>0</v>
      </c>
      <c r="O80" s="423"/>
      <c r="P80" s="423"/>
    </row>
    <row r="81" spans="1:14" ht="12.6" customHeight="1" thickTop="1" x14ac:dyDescent="0.2"/>
    <row r="82" spans="1:14" s="378" customFormat="1" ht="43.5" customHeight="1" x14ac:dyDescent="0.2">
      <c r="A82" s="1320" t="s">
        <v>428</v>
      </c>
      <c r="B82" s="1259"/>
      <c r="C82" s="1259"/>
      <c r="D82" s="1259"/>
      <c r="E82" s="1259"/>
      <c r="F82" s="1259"/>
      <c r="G82" s="1259"/>
      <c r="H82" s="1259"/>
      <c r="I82" s="1259"/>
      <c r="J82" s="1318" t="s">
        <v>1245</v>
      </c>
      <c r="K82" s="1259"/>
      <c r="L82" s="1259"/>
      <c r="M82" s="1319"/>
      <c r="N82" s="806">
        <f>FST!E1</f>
        <v>0</v>
      </c>
    </row>
    <row r="83" spans="1:14" s="78" customFormat="1" ht="34.5" customHeight="1" x14ac:dyDescent="0.2">
      <c r="A83" s="1086"/>
      <c r="C83" s="1314" t="s">
        <v>93</v>
      </c>
      <c r="D83" s="1314"/>
      <c r="E83" s="81"/>
      <c r="F83" s="82"/>
      <c r="G83" s="82" t="s">
        <v>429</v>
      </c>
      <c r="H83" s="81"/>
      <c r="I83" s="82"/>
      <c r="J83" s="82"/>
      <c r="K83" s="81"/>
      <c r="L83" s="1313"/>
      <c r="M83" s="1313"/>
    </row>
    <row r="84" spans="1:14" s="78" customFormat="1" ht="12.6" customHeight="1" x14ac:dyDescent="0.2">
      <c r="C84" s="1321" t="s">
        <v>1737</v>
      </c>
      <c r="D84" s="1313"/>
      <c r="E84" s="81"/>
      <c r="F84" s="82"/>
      <c r="G84" s="83" t="s">
        <v>430</v>
      </c>
      <c r="H84" s="81"/>
      <c r="I84" s="82"/>
      <c r="J84" s="82" t="s">
        <v>803</v>
      </c>
      <c r="K84" s="81"/>
    </row>
    <row r="85" spans="1:14" s="78" customFormat="1" ht="12" customHeight="1" x14ac:dyDescent="0.2">
      <c r="C85" s="1312" t="s">
        <v>802</v>
      </c>
      <c r="D85" s="1312"/>
      <c r="E85" s="81"/>
      <c r="F85" s="84"/>
      <c r="G85" s="84" t="s">
        <v>431</v>
      </c>
      <c r="H85" s="81"/>
      <c r="I85" s="84"/>
      <c r="J85" s="84" t="s">
        <v>113</v>
      </c>
      <c r="K85" s="81"/>
    </row>
    <row r="86" spans="1:14" ht="12.6" customHeight="1" x14ac:dyDescent="0.2">
      <c r="A86" s="85" t="s">
        <v>243</v>
      </c>
      <c r="J86" s="96"/>
      <c r="M86" s="85"/>
    </row>
    <row r="87" spans="1:14" ht="12.6" customHeight="1" x14ac:dyDescent="0.2">
      <c r="A87" s="85" t="s">
        <v>191</v>
      </c>
      <c r="C87" s="87" t="s">
        <v>503</v>
      </c>
      <c r="D87" s="341">
        <f>D18</f>
        <v>0</v>
      </c>
      <c r="E87" s="88"/>
      <c r="F87" s="88" t="s">
        <v>503</v>
      </c>
      <c r="G87" s="341" t="e">
        <f>HLOOKUP($N$82,'HEI-PY Capital Assets'!$E$1:$Y$62,3,FALSE)</f>
        <v>#N/A</v>
      </c>
      <c r="H87" s="88"/>
      <c r="I87" s="88" t="s">
        <v>503</v>
      </c>
      <c r="J87" s="341" t="e">
        <f>D87-G87</f>
        <v>#N/A</v>
      </c>
      <c r="K87" s="88"/>
      <c r="M87" s="85"/>
    </row>
    <row r="88" spans="1:14" ht="12.6" customHeight="1" x14ac:dyDescent="0.2">
      <c r="A88" s="85" t="s">
        <v>193</v>
      </c>
      <c r="C88" s="87"/>
      <c r="D88" s="277">
        <f>D19</f>
        <v>0</v>
      </c>
      <c r="E88" s="89"/>
      <c r="F88" s="89"/>
      <c r="G88" s="277" t="e">
        <f>HLOOKUP($N$82,'HEI-PY Capital Assets'!$E$1:$Y$62,4,FALSE)</f>
        <v>#N/A</v>
      </c>
      <c r="H88" s="89"/>
      <c r="I88" s="89"/>
      <c r="J88" s="277" t="e">
        <f>D88-G88</f>
        <v>#N/A</v>
      </c>
      <c r="K88" s="88"/>
      <c r="M88" s="85"/>
    </row>
    <row r="89" spans="1:14" ht="12.6" customHeight="1" x14ac:dyDescent="0.2">
      <c r="A89" s="85" t="s">
        <v>914</v>
      </c>
      <c r="C89" s="87"/>
      <c r="D89" s="247"/>
      <c r="E89" s="88"/>
      <c r="F89" s="88"/>
      <c r="G89" s="247"/>
      <c r="H89" s="88"/>
      <c r="I89" s="88"/>
      <c r="J89" s="247"/>
      <c r="K89" s="88"/>
      <c r="M89" s="85"/>
    </row>
    <row r="90" spans="1:14" ht="12.6" customHeight="1" x14ac:dyDescent="0.2">
      <c r="A90" s="85" t="s">
        <v>655</v>
      </c>
      <c r="C90" s="87"/>
      <c r="D90" s="277">
        <f>D21</f>
        <v>0</v>
      </c>
      <c r="E90" s="88"/>
      <c r="F90" s="88"/>
      <c r="G90" s="341" t="e">
        <f>HLOOKUP($N$82,'HEI-PY Capital Assets'!$E$1:$Y$62,5,FALSE)</f>
        <v>#N/A</v>
      </c>
      <c r="H90" s="88"/>
      <c r="I90" s="88"/>
      <c r="J90" s="277" t="e">
        <f>D90-G90</f>
        <v>#N/A</v>
      </c>
      <c r="K90" s="88"/>
      <c r="M90" s="85"/>
    </row>
    <row r="91" spans="1:14" ht="12.6" customHeight="1" x14ac:dyDescent="0.2">
      <c r="A91" s="85" t="s">
        <v>194</v>
      </c>
      <c r="C91" s="87"/>
      <c r="D91" s="342">
        <f>D22</f>
        <v>0</v>
      </c>
      <c r="E91" s="88"/>
      <c r="F91" s="90"/>
      <c r="G91" s="341" t="e">
        <f>HLOOKUP($N$82,'HEI-PY Capital Assets'!$E$1:$Y$62,6,FALSE)</f>
        <v>#N/A</v>
      </c>
      <c r="H91" s="88"/>
      <c r="I91" s="90"/>
      <c r="J91" s="342" t="e">
        <f>D91-G91</f>
        <v>#N/A</v>
      </c>
      <c r="K91" s="88"/>
      <c r="M91" s="85"/>
    </row>
    <row r="92" spans="1:14" ht="12.6" customHeight="1" x14ac:dyDescent="0.2">
      <c r="A92" s="85" t="s">
        <v>310</v>
      </c>
      <c r="C92" s="87"/>
      <c r="D92" s="427"/>
      <c r="E92" s="88"/>
      <c r="F92" s="90"/>
      <c r="G92" s="599"/>
      <c r="H92" s="88"/>
      <c r="I92" s="90"/>
      <c r="J92" s="427"/>
      <c r="K92" s="88"/>
      <c r="M92" s="85"/>
    </row>
    <row r="93" spans="1:14" ht="24" customHeight="1" x14ac:dyDescent="0.2">
      <c r="A93" s="600">
        <f>A24</f>
        <v>0</v>
      </c>
      <c r="C93" s="87"/>
      <c r="D93" s="277">
        <f>D24</f>
        <v>0</v>
      </c>
      <c r="E93" s="88"/>
      <c r="F93" s="90"/>
      <c r="G93" s="341" t="e">
        <f>HLOOKUP($N$82,'HEI-PY Capital Assets'!$E$1:$Y$62,8,FALSE)</f>
        <v>#N/A</v>
      </c>
      <c r="H93" s="88"/>
      <c r="I93" s="90"/>
      <c r="J93" s="342" t="e">
        <f>D93-G93</f>
        <v>#N/A</v>
      </c>
      <c r="K93" s="88"/>
      <c r="M93" s="85"/>
    </row>
    <row r="94" spans="1:14" ht="12.6" customHeight="1" x14ac:dyDescent="0.2">
      <c r="A94" s="85" t="s">
        <v>244</v>
      </c>
      <c r="C94" s="87"/>
      <c r="D94" s="246">
        <f>SUM(D87:D93)</f>
        <v>0</v>
      </c>
      <c r="E94" s="88"/>
      <c r="F94" s="90"/>
      <c r="G94" s="114" t="e">
        <f>SUM(G87:G93)</f>
        <v>#N/A</v>
      </c>
      <c r="H94" s="88"/>
      <c r="I94" s="90"/>
      <c r="J94" s="246" t="e">
        <f>SUM(J87:J93)</f>
        <v>#N/A</v>
      </c>
      <c r="K94" s="88"/>
      <c r="L94" s="91"/>
      <c r="M94" s="85"/>
    </row>
    <row r="95" spans="1:14" ht="12.75" customHeight="1" x14ac:dyDescent="0.2">
      <c r="C95" s="87"/>
      <c r="D95" s="247"/>
      <c r="E95" s="87"/>
      <c r="F95" s="87"/>
      <c r="G95" s="248"/>
      <c r="H95" s="87"/>
      <c r="I95" s="87"/>
      <c r="J95" s="247"/>
      <c r="K95" s="87"/>
      <c r="M95" s="85"/>
    </row>
    <row r="96" spans="1:14" ht="12.6" customHeight="1" x14ac:dyDescent="0.2">
      <c r="A96" s="85" t="s">
        <v>1416</v>
      </c>
      <c r="C96" s="87"/>
      <c r="D96" s="247"/>
      <c r="E96" s="87"/>
      <c r="F96" s="87"/>
      <c r="G96" s="248"/>
      <c r="H96" s="87"/>
      <c r="I96" s="87"/>
      <c r="J96" s="247"/>
      <c r="K96" s="87"/>
      <c r="M96" s="85"/>
    </row>
    <row r="97" spans="1:16" ht="12.6" customHeight="1" x14ac:dyDescent="0.2">
      <c r="A97" s="85" t="s">
        <v>195</v>
      </c>
      <c r="C97" s="87"/>
      <c r="D97" s="277">
        <f>D28</f>
        <v>0</v>
      </c>
      <c r="E97" s="88"/>
      <c r="F97" s="88"/>
      <c r="G97" s="341" t="e">
        <f>HLOOKUP($N$82,'HEI-PY Capital Assets'!$E$1:$Y$62,12,FALSE)</f>
        <v>#N/A</v>
      </c>
      <c r="H97" s="88"/>
      <c r="I97" s="88"/>
      <c r="J97" s="277" t="e">
        <f t="shared" ref="J97:J107" si="1">D97-G97</f>
        <v>#N/A</v>
      </c>
      <c r="K97" s="88"/>
      <c r="M97" s="85"/>
    </row>
    <row r="98" spans="1:16" ht="12.6" customHeight="1" x14ac:dyDescent="0.2">
      <c r="A98" s="85" t="s">
        <v>718</v>
      </c>
      <c r="C98" s="87"/>
      <c r="D98" s="277">
        <f>D29</f>
        <v>0</v>
      </c>
      <c r="E98" s="88"/>
      <c r="F98" s="88"/>
      <c r="G98" s="341" t="e">
        <f>HLOOKUP($N$82,'HEI-PY Capital Assets'!$E$1:$Y$62,13,FALSE)</f>
        <v>#N/A</v>
      </c>
      <c r="H98" s="88"/>
      <c r="I98" s="88"/>
      <c r="J98" s="277" t="e">
        <f t="shared" si="1"/>
        <v>#N/A</v>
      </c>
      <c r="K98" s="88"/>
      <c r="M98" s="85"/>
    </row>
    <row r="99" spans="1:16" ht="12.6" customHeight="1" x14ac:dyDescent="0.2">
      <c r="A99" s="85" t="s">
        <v>237</v>
      </c>
      <c r="C99" s="87"/>
      <c r="D99" s="277">
        <f>D30</f>
        <v>0</v>
      </c>
      <c r="E99" s="88"/>
      <c r="F99" s="88"/>
      <c r="G99" s="341" t="e">
        <f>HLOOKUP($N$82,'HEI-PY Capital Assets'!$E$1:$Y$62,14,FALSE)</f>
        <v>#N/A</v>
      </c>
      <c r="H99" s="88"/>
      <c r="I99" s="88"/>
      <c r="J99" s="277" t="e">
        <f t="shared" si="1"/>
        <v>#N/A</v>
      </c>
      <c r="K99" s="88"/>
      <c r="M99" s="85"/>
    </row>
    <row r="100" spans="1:16" ht="12.6" customHeight="1" x14ac:dyDescent="0.2">
      <c r="A100" s="85" t="s">
        <v>656</v>
      </c>
      <c r="C100" s="87"/>
      <c r="D100" s="277">
        <f>D31</f>
        <v>0</v>
      </c>
      <c r="E100" s="88"/>
      <c r="F100" s="88"/>
      <c r="G100" s="277" t="e">
        <f>HLOOKUP($N$82,'HEI-PY Capital Assets'!$E$1:$Y$62,15,FALSE)</f>
        <v>#N/A</v>
      </c>
      <c r="H100" s="88"/>
      <c r="I100" s="88"/>
      <c r="J100" s="277" t="e">
        <f t="shared" si="1"/>
        <v>#N/A</v>
      </c>
      <c r="K100" s="88"/>
      <c r="M100" s="85"/>
    </row>
    <row r="101" spans="1:16" ht="12.6" customHeight="1" x14ac:dyDescent="0.2">
      <c r="A101" s="85" t="s">
        <v>915</v>
      </c>
      <c r="C101" s="87"/>
      <c r="D101" s="113"/>
      <c r="E101" s="89"/>
      <c r="F101" s="89"/>
      <c r="G101" s="113"/>
      <c r="H101" s="89"/>
      <c r="I101" s="89"/>
      <c r="J101" s="113"/>
      <c r="K101" s="88"/>
      <c r="M101" s="85"/>
    </row>
    <row r="102" spans="1:16" ht="12.6" customHeight="1" x14ac:dyDescent="0.2">
      <c r="A102" s="85" t="s">
        <v>655</v>
      </c>
      <c r="C102" s="87"/>
      <c r="D102" s="277">
        <f>D33</f>
        <v>0</v>
      </c>
      <c r="E102" s="88"/>
      <c r="F102" s="88"/>
      <c r="G102" s="341" t="e">
        <f>HLOOKUP($N$82,'HEI-PY Capital Assets'!$E$1:$Y$62,16,FALSE)</f>
        <v>#N/A</v>
      </c>
      <c r="H102" s="88"/>
      <c r="I102" s="88"/>
      <c r="J102" s="277" t="e">
        <f t="shared" si="1"/>
        <v>#N/A</v>
      </c>
      <c r="K102" s="88"/>
      <c r="M102" s="85"/>
    </row>
    <row r="103" spans="1:16" ht="12.6" customHeight="1" x14ac:dyDescent="0.2">
      <c r="A103" s="85" t="s">
        <v>719</v>
      </c>
      <c r="C103" s="87"/>
      <c r="D103" s="277">
        <f>D34</f>
        <v>0</v>
      </c>
      <c r="E103" s="88"/>
      <c r="F103" s="88"/>
      <c r="G103" s="341" t="e">
        <f>HLOOKUP($N$82,'HEI-PY Capital Assets'!$E$1:$Y$62,17,FALSE)</f>
        <v>#N/A</v>
      </c>
      <c r="H103" s="88"/>
      <c r="I103" s="88"/>
      <c r="J103" s="277" t="e">
        <f t="shared" si="1"/>
        <v>#N/A</v>
      </c>
      <c r="K103" s="88"/>
      <c r="M103" s="85"/>
    </row>
    <row r="104" spans="1:16" ht="12.6" customHeight="1" x14ac:dyDescent="0.2">
      <c r="A104" s="149" t="s">
        <v>1320</v>
      </c>
      <c r="C104" s="87"/>
      <c r="D104" s="246"/>
      <c r="E104" s="88"/>
      <c r="F104" s="88"/>
      <c r="G104" s="599"/>
      <c r="H104" s="88"/>
      <c r="I104" s="88"/>
      <c r="J104" s="246"/>
      <c r="K104" s="88"/>
      <c r="M104" s="85"/>
    </row>
    <row r="105" spans="1:16" ht="12.6" customHeight="1" x14ac:dyDescent="0.2">
      <c r="A105" s="149" t="s">
        <v>205</v>
      </c>
      <c r="C105" s="87"/>
      <c r="D105" s="277">
        <f>D36</f>
        <v>0</v>
      </c>
      <c r="E105" s="88"/>
      <c r="F105" s="88"/>
      <c r="G105" s="341" t="e">
        <f>HLOOKUP($N$82,'HEI-PY Capital Assets'!$E$1:$Y$62,19,FALSE)</f>
        <v>#N/A</v>
      </c>
      <c r="H105" s="88"/>
      <c r="I105" s="88"/>
      <c r="J105" s="277" t="e">
        <f t="shared" si="1"/>
        <v>#N/A</v>
      </c>
      <c r="K105" s="88"/>
      <c r="M105" s="85"/>
    </row>
    <row r="106" spans="1:16" ht="12.6" customHeight="1" x14ac:dyDescent="0.2">
      <c r="A106" s="149" t="s">
        <v>249</v>
      </c>
      <c r="C106" s="87"/>
      <c r="D106" s="277">
        <f>D37</f>
        <v>0</v>
      </c>
      <c r="E106" s="88"/>
      <c r="F106" s="88"/>
      <c r="G106" s="341" t="e">
        <f>HLOOKUP($N$82,'HEI-PY Capital Assets'!$E$1:$Y$62,20,FALSE)</f>
        <v>#N/A</v>
      </c>
      <c r="H106" s="88"/>
      <c r="I106" s="88"/>
      <c r="J106" s="277" t="e">
        <f t="shared" si="1"/>
        <v>#N/A</v>
      </c>
      <c r="K106" s="88"/>
      <c r="M106" s="85"/>
    </row>
    <row r="107" spans="1:16" ht="12.6" customHeight="1" x14ac:dyDescent="0.2">
      <c r="A107" s="149" t="s">
        <v>250</v>
      </c>
      <c r="C107" s="87"/>
      <c r="D107" s="277">
        <f>D38</f>
        <v>0</v>
      </c>
      <c r="E107" s="88"/>
      <c r="F107" s="88"/>
      <c r="G107" s="341" t="e">
        <f>HLOOKUP($N$82,'HEI-PY Capital Assets'!$E$1:$Y$62,21,FALSE)</f>
        <v>#N/A</v>
      </c>
      <c r="H107" s="88"/>
      <c r="I107" s="88"/>
      <c r="J107" s="277" t="e">
        <f t="shared" si="1"/>
        <v>#N/A</v>
      </c>
      <c r="K107" s="88"/>
      <c r="M107" s="85"/>
    </row>
    <row r="108" spans="1:16" ht="12.6" customHeight="1" x14ac:dyDescent="0.2">
      <c r="A108" s="149" t="s">
        <v>251</v>
      </c>
      <c r="C108" s="87"/>
      <c r="D108" s="246"/>
      <c r="E108" s="88"/>
      <c r="F108" s="88"/>
      <c r="G108" s="599"/>
      <c r="H108" s="88"/>
      <c r="I108" s="88"/>
      <c r="J108" s="246"/>
      <c r="K108" s="88"/>
      <c r="M108" s="85"/>
    </row>
    <row r="109" spans="1:16" ht="27.75" customHeight="1" x14ac:dyDescent="0.2">
      <c r="A109" s="600">
        <f>A40</f>
        <v>0</v>
      </c>
      <c r="C109" s="87"/>
      <c r="D109" s="277">
        <f>D40</f>
        <v>0</v>
      </c>
      <c r="E109" s="88"/>
      <c r="F109" s="88"/>
      <c r="G109" s="341" t="e">
        <f>HLOOKUP($N$82,'HEI-PY Capital Assets'!$E$1:$Y$62,23,FALSE)</f>
        <v>#N/A</v>
      </c>
      <c r="H109" s="88"/>
      <c r="I109" s="88"/>
      <c r="J109" s="277" t="e">
        <f>D109-G109</f>
        <v>#N/A</v>
      </c>
      <c r="K109" s="88"/>
      <c r="M109" s="85"/>
    </row>
    <row r="110" spans="1:16" ht="11.25" x14ac:dyDescent="0.2">
      <c r="A110" s="85" t="s">
        <v>1523</v>
      </c>
      <c r="C110" s="87"/>
      <c r="D110" s="1062"/>
      <c r="E110" s="999"/>
      <c r="F110" s="999"/>
      <c r="G110" s="1062"/>
      <c r="H110" s="999"/>
      <c r="I110" s="999"/>
      <c r="J110" s="277"/>
      <c r="K110" s="88"/>
      <c r="L110" s="88"/>
      <c r="M110" s="115"/>
      <c r="N110" s="247"/>
      <c r="O110" s="423"/>
      <c r="P110" s="423"/>
    </row>
    <row r="111" spans="1:16" ht="11.25" x14ac:dyDescent="0.2">
      <c r="A111" s="624" t="s">
        <v>1431</v>
      </c>
      <c r="C111" s="87"/>
      <c r="D111" s="1009">
        <f>D42</f>
        <v>0</v>
      </c>
      <c r="E111" s="89"/>
      <c r="F111" s="89"/>
      <c r="G111" s="341" t="e">
        <f>HLOOKUP($N$82,'HEI-PY Capital Assets'!$E$1:$Y$62,25,FALSE)</f>
        <v>#N/A</v>
      </c>
      <c r="H111" s="89"/>
      <c r="I111" s="89"/>
      <c r="J111" s="277" t="e">
        <f>D111-G111</f>
        <v>#N/A</v>
      </c>
      <c r="K111" s="88"/>
      <c r="L111" s="88"/>
      <c r="M111" s="115"/>
      <c r="N111" s="247"/>
      <c r="O111" s="423"/>
      <c r="P111" s="423"/>
    </row>
    <row r="112" spans="1:16" ht="11.25" x14ac:dyDescent="0.2">
      <c r="A112" s="624" t="s">
        <v>1418</v>
      </c>
      <c r="C112" s="87"/>
      <c r="D112" s="1009">
        <f>D43</f>
        <v>0</v>
      </c>
      <c r="E112" s="89"/>
      <c r="F112" s="89"/>
      <c r="G112" s="341" t="e">
        <f>HLOOKUP($N$82,'HEI-PY Capital Assets'!$E$1:$Y$62,26,FALSE)</f>
        <v>#N/A</v>
      </c>
      <c r="H112" s="89"/>
      <c r="I112" s="89"/>
      <c r="J112" s="277" t="e">
        <f t="shared" ref="J112:J114" si="2">D112-G112</f>
        <v>#N/A</v>
      </c>
      <c r="K112" s="88"/>
      <c r="L112" s="88"/>
      <c r="M112" s="115"/>
      <c r="N112" s="247"/>
      <c r="O112" s="423"/>
      <c r="P112" s="423"/>
    </row>
    <row r="113" spans="1:16" ht="11.25" x14ac:dyDescent="0.2">
      <c r="A113" s="624" t="s">
        <v>1419</v>
      </c>
      <c r="C113" s="87"/>
      <c r="D113" s="1009">
        <f>D44</f>
        <v>0</v>
      </c>
      <c r="E113" s="89"/>
      <c r="F113" s="89"/>
      <c r="G113" s="341" t="e">
        <f>HLOOKUP($N$82,'HEI-PY Capital Assets'!$E$1:$Y$62,27,FALSE)</f>
        <v>#N/A</v>
      </c>
      <c r="H113" s="89"/>
      <c r="I113" s="89"/>
      <c r="J113" s="277" t="e">
        <f>D113-G113</f>
        <v>#N/A</v>
      </c>
      <c r="K113" s="88"/>
      <c r="L113" s="88"/>
      <c r="M113" s="115"/>
      <c r="N113" s="247"/>
      <c r="O113" s="423"/>
      <c r="P113" s="423"/>
    </row>
    <row r="114" spans="1:16" ht="11.25" x14ac:dyDescent="0.2">
      <c r="A114" s="624" t="s">
        <v>1420</v>
      </c>
      <c r="C114" s="87"/>
      <c r="D114" s="1009">
        <f>D45</f>
        <v>0</v>
      </c>
      <c r="E114" s="89"/>
      <c r="F114" s="89"/>
      <c r="G114" s="277" t="e">
        <f>HLOOKUP($N$82,'HEI-PY Capital Assets'!$E$1:$Y$62,28,FALSE)</f>
        <v>#N/A</v>
      </c>
      <c r="H114" s="89"/>
      <c r="I114" s="89"/>
      <c r="J114" s="277" t="e">
        <f t="shared" si="2"/>
        <v>#N/A</v>
      </c>
      <c r="K114" s="88"/>
      <c r="L114" s="88"/>
      <c r="M114" s="115"/>
      <c r="N114" s="247"/>
      <c r="O114" s="423"/>
      <c r="P114" s="423"/>
    </row>
    <row r="115" spans="1:16" ht="11.25" x14ac:dyDescent="0.2">
      <c r="A115" s="624" t="s">
        <v>1421</v>
      </c>
      <c r="C115" s="87"/>
      <c r="D115" s="1012"/>
      <c r="E115" s="837"/>
      <c r="F115" s="837"/>
      <c r="G115" s="247"/>
      <c r="H115" s="837"/>
      <c r="I115" s="837"/>
      <c r="J115" s="247"/>
      <c r="K115" s="88"/>
      <c r="L115" s="88"/>
      <c r="M115" s="115"/>
      <c r="N115" s="247"/>
      <c r="O115" s="423"/>
      <c r="P115" s="423"/>
    </row>
    <row r="116" spans="1:16" ht="30.75" customHeight="1" x14ac:dyDescent="0.2">
      <c r="A116" s="1066">
        <f>A47</f>
        <v>0</v>
      </c>
      <c r="C116" s="87"/>
      <c r="D116" s="1009">
        <f>D47</f>
        <v>0</v>
      </c>
      <c r="E116" s="89"/>
      <c r="F116" s="89"/>
      <c r="G116" s="277" t="e">
        <f>HLOOKUP($N$82,'HEI-PY Capital Assets'!$E$1:$Y$62,29,FALSE)</f>
        <v>#N/A</v>
      </c>
      <c r="H116" s="89"/>
      <c r="I116" s="89"/>
      <c r="J116" s="277" t="e">
        <f>D116-G116</f>
        <v>#N/A</v>
      </c>
      <c r="K116" s="88"/>
      <c r="L116" s="88"/>
      <c r="M116" s="115"/>
      <c r="N116" s="247"/>
      <c r="O116" s="423"/>
      <c r="P116" s="423"/>
    </row>
    <row r="117" spans="1:16" ht="26.25" customHeight="1" x14ac:dyDescent="0.2">
      <c r="A117" s="1065" t="s">
        <v>1698</v>
      </c>
      <c r="C117" s="87"/>
      <c r="D117" s="1009">
        <f>D48</f>
        <v>0</v>
      </c>
      <c r="E117" s="89"/>
      <c r="F117" s="89"/>
      <c r="G117" s="277" t="e">
        <f>HLOOKUP($N$82,'HEI-PY Capital Assets'!$E$1:$Y$62,31,FALSE)</f>
        <v>#N/A</v>
      </c>
      <c r="H117" s="89"/>
      <c r="I117" s="89"/>
      <c r="J117" s="277" t="e">
        <f>D117-G117</f>
        <v>#N/A</v>
      </c>
      <c r="K117" s="88"/>
      <c r="L117" s="88"/>
      <c r="M117" s="115"/>
      <c r="N117" s="247"/>
      <c r="O117" s="423"/>
      <c r="P117" s="423"/>
    </row>
    <row r="118" spans="1:16" ht="26.25" customHeight="1" x14ac:dyDescent="0.2">
      <c r="A118" s="1065" t="s">
        <v>1549</v>
      </c>
      <c r="C118" s="87"/>
      <c r="D118" s="1009">
        <f>D49</f>
        <v>0</v>
      </c>
      <c r="E118" s="89"/>
      <c r="F118" s="89"/>
      <c r="G118" s="277" t="e">
        <f>HLOOKUP($N$82,'HEI-PY Capital Assets'!$E$1:$Y$62,32,FALSE)</f>
        <v>#N/A</v>
      </c>
      <c r="H118" s="89"/>
      <c r="I118" s="89"/>
      <c r="J118" s="277" t="e">
        <f>D118-G118</f>
        <v>#N/A</v>
      </c>
      <c r="K118" s="88"/>
      <c r="L118" s="88"/>
      <c r="M118" s="115"/>
      <c r="N118" s="247"/>
      <c r="O118" s="423"/>
      <c r="P118" s="423"/>
    </row>
    <row r="119" spans="1:16" ht="12.6" customHeight="1" x14ac:dyDescent="0.2">
      <c r="A119" s="85" t="s">
        <v>1522</v>
      </c>
      <c r="C119" s="87"/>
      <c r="D119" s="246">
        <f>SUM(D97:D118)</f>
        <v>0</v>
      </c>
      <c r="E119" s="88"/>
      <c r="F119" s="90"/>
      <c r="G119" s="114" t="e">
        <f>SUM(G97:G118)</f>
        <v>#N/A</v>
      </c>
      <c r="H119" s="88"/>
      <c r="I119" s="90"/>
      <c r="J119" s="246" t="e">
        <f>SUM(J97:J118)</f>
        <v>#N/A</v>
      </c>
      <c r="K119" s="88"/>
      <c r="M119" s="85"/>
    </row>
    <row r="120" spans="1:16" ht="12.6" customHeight="1" x14ac:dyDescent="0.2">
      <c r="A120" s="94"/>
      <c r="D120" s="117"/>
      <c r="G120" s="237"/>
      <c r="J120" s="117"/>
      <c r="M120" s="85"/>
    </row>
    <row r="121" spans="1:16" ht="12.6" customHeight="1" x14ac:dyDescent="0.2">
      <c r="A121" s="95" t="s">
        <v>246</v>
      </c>
      <c r="D121" s="117"/>
      <c r="G121" s="237"/>
      <c r="J121" s="117"/>
      <c r="M121" s="85"/>
    </row>
    <row r="122" spans="1:16" ht="12.6" customHeight="1" x14ac:dyDescent="0.2">
      <c r="A122" s="85" t="s">
        <v>195</v>
      </c>
      <c r="D122" s="278">
        <f>D53</f>
        <v>0</v>
      </c>
      <c r="G122" s="341" t="e">
        <f>HLOOKUP($N$82,'HEI-PY Capital Assets'!$E$1:$Y$62,36,FALSE)</f>
        <v>#N/A</v>
      </c>
      <c r="J122" s="277" t="e">
        <f>D122-G122</f>
        <v>#N/A</v>
      </c>
      <c r="M122" s="85"/>
    </row>
    <row r="123" spans="1:16" ht="12.6" customHeight="1" x14ac:dyDescent="0.2">
      <c r="A123" s="85" t="s">
        <v>718</v>
      </c>
      <c r="D123" s="278">
        <f>D54</f>
        <v>0</v>
      </c>
      <c r="G123" s="341" t="e">
        <f>HLOOKUP($N$82,'HEI-PY Capital Assets'!$E$1:$Y$62,37,FALSE)</f>
        <v>#N/A</v>
      </c>
      <c r="J123" s="277" t="e">
        <f t="shared" ref="J123:J131" si="3">D123-G123</f>
        <v>#N/A</v>
      </c>
      <c r="M123" s="85"/>
    </row>
    <row r="124" spans="1:16" ht="12.6" customHeight="1" x14ac:dyDescent="0.2">
      <c r="A124" s="85" t="s">
        <v>237</v>
      </c>
      <c r="D124" s="278">
        <f>D55</f>
        <v>0</v>
      </c>
      <c r="G124" s="341" t="e">
        <f>HLOOKUP($N$82,'HEI-PY Capital Assets'!$E$1:$Y$62,38,FALSE)</f>
        <v>#N/A</v>
      </c>
      <c r="J124" s="277" t="e">
        <f t="shared" si="3"/>
        <v>#N/A</v>
      </c>
      <c r="M124" s="85"/>
    </row>
    <row r="125" spans="1:16" ht="12.6" customHeight="1" x14ac:dyDescent="0.2">
      <c r="A125" s="85" t="s">
        <v>656</v>
      </c>
      <c r="D125" s="278">
        <f>D56</f>
        <v>0</v>
      </c>
      <c r="G125" s="277" t="e">
        <f>HLOOKUP($N$82,'HEI-PY Capital Assets'!$E$1:$Y$62,39,FALSE)</f>
        <v>#N/A</v>
      </c>
      <c r="J125" s="277" t="e">
        <f>D125-G125</f>
        <v>#N/A</v>
      </c>
      <c r="M125" s="85"/>
    </row>
    <row r="126" spans="1:16" ht="12.6" customHeight="1" x14ac:dyDescent="0.2">
      <c r="A126" s="85" t="s">
        <v>915</v>
      </c>
      <c r="D126" s="117"/>
      <c r="G126" s="117"/>
      <c r="J126" s="117"/>
      <c r="M126" s="85"/>
    </row>
    <row r="127" spans="1:16" ht="12.6" customHeight="1" x14ac:dyDescent="0.2">
      <c r="A127" s="85" t="s">
        <v>655</v>
      </c>
      <c r="D127" s="278">
        <f>D58</f>
        <v>0</v>
      </c>
      <c r="G127" s="341" t="e">
        <f>HLOOKUP($N$82,'HEI-PY Capital Assets'!$E$1:$Y$62,40,FALSE)</f>
        <v>#N/A</v>
      </c>
      <c r="J127" s="277" t="e">
        <f t="shared" si="3"/>
        <v>#N/A</v>
      </c>
      <c r="M127" s="85"/>
    </row>
    <row r="128" spans="1:16" ht="12.6" customHeight="1" x14ac:dyDescent="0.2">
      <c r="A128" s="85" t="s">
        <v>719</v>
      </c>
      <c r="C128" s="87"/>
      <c r="D128" s="278">
        <f>D59</f>
        <v>0</v>
      </c>
      <c r="E128" s="88"/>
      <c r="F128" s="90"/>
      <c r="G128" s="341" t="e">
        <f>HLOOKUP($N$82,'HEI-PY Capital Assets'!$E$1:$Y$62,41,FALSE)</f>
        <v>#N/A</v>
      </c>
      <c r="H128" s="88"/>
      <c r="I128" s="90"/>
      <c r="J128" s="277" t="e">
        <f>D128-G128</f>
        <v>#N/A</v>
      </c>
      <c r="K128" s="88"/>
      <c r="M128" s="85"/>
    </row>
    <row r="129" spans="1:13" ht="12.6" customHeight="1" x14ac:dyDescent="0.2">
      <c r="A129" s="149" t="s">
        <v>1320</v>
      </c>
      <c r="C129" s="87"/>
      <c r="D129" s="601"/>
      <c r="E129" s="88"/>
      <c r="F129" s="90"/>
      <c r="G129" s="599"/>
      <c r="H129" s="88"/>
      <c r="I129" s="90"/>
      <c r="J129" s="246"/>
      <c r="K129" s="88"/>
      <c r="M129" s="85"/>
    </row>
    <row r="130" spans="1:13" ht="12.6" customHeight="1" x14ac:dyDescent="0.2">
      <c r="A130" s="149" t="s">
        <v>205</v>
      </c>
      <c r="C130" s="87"/>
      <c r="D130" s="278">
        <f>D61</f>
        <v>0</v>
      </c>
      <c r="E130" s="88"/>
      <c r="F130" s="90"/>
      <c r="G130" s="341" t="e">
        <f>HLOOKUP($N$82,'HEI-PY Capital Assets'!$E$1:$Y$62,43,FALSE)</f>
        <v>#N/A</v>
      </c>
      <c r="H130" s="88"/>
      <c r="I130" s="90"/>
      <c r="J130" s="277" t="e">
        <f t="shared" si="3"/>
        <v>#N/A</v>
      </c>
      <c r="K130" s="88"/>
      <c r="M130" s="85"/>
    </row>
    <row r="131" spans="1:13" ht="12.6" customHeight="1" x14ac:dyDescent="0.2">
      <c r="A131" s="149" t="s">
        <v>249</v>
      </c>
      <c r="C131" s="87"/>
      <c r="D131" s="278">
        <f>D62</f>
        <v>0</v>
      </c>
      <c r="E131" s="88"/>
      <c r="F131" s="90"/>
      <c r="G131" s="341" t="e">
        <f>HLOOKUP($N$82,'HEI-PY Capital Assets'!$E$1:$Y$62,44,FALSE)</f>
        <v>#N/A</v>
      </c>
      <c r="H131" s="88"/>
      <c r="I131" s="90"/>
      <c r="J131" s="277" t="e">
        <f t="shared" si="3"/>
        <v>#N/A</v>
      </c>
      <c r="K131" s="88"/>
      <c r="M131" s="85"/>
    </row>
    <row r="132" spans="1:13" ht="12.6" customHeight="1" x14ac:dyDescent="0.2">
      <c r="A132" s="149" t="s">
        <v>250</v>
      </c>
      <c r="C132" s="87"/>
      <c r="D132" s="278">
        <f>D63</f>
        <v>0</v>
      </c>
      <c r="E132" s="88"/>
      <c r="F132" s="90"/>
      <c r="G132" s="341" t="e">
        <f>HLOOKUP($N$82,'HEI-PY Capital Assets'!$E$1:$Y$62,45,FALSE)</f>
        <v>#N/A</v>
      </c>
      <c r="H132" s="88"/>
      <c r="I132" s="90"/>
      <c r="J132" s="277" t="e">
        <f>D132-G132</f>
        <v>#N/A</v>
      </c>
      <c r="K132" s="88"/>
      <c r="M132" s="85"/>
    </row>
    <row r="133" spans="1:13" ht="12.6" customHeight="1" x14ac:dyDescent="0.2">
      <c r="A133" s="149" t="s">
        <v>251</v>
      </c>
      <c r="C133" s="87"/>
      <c r="D133" s="601"/>
      <c r="E133" s="88"/>
      <c r="F133" s="90"/>
      <c r="G133" s="599"/>
      <c r="H133" s="88"/>
      <c r="I133" s="90"/>
      <c r="J133" s="246"/>
      <c r="K133" s="88"/>
      <c r="M133" s="85"/>
    </row>
    <row r="134" spans="1:13" ht="33.75" customHeight="1" x14ac:dyDescent="0.2">
      <c r="A134" s="600">
        <f>A65</f>
        <v>0</v>
      </c>
      <c r="C134" s="87"/>
      <c r="D134" s="278">
        <f>D65</f>
        <v>0</v>
      </c>
      <c r="E134" s="88"/>
      <c r="F134" s="90"/>
      <c r="G134" s="341" t="e">
        <f>HLOOKUP($N$82,'HEI-PY Capital Assets'!$E$1:$Y$62,47,FALSE)</f>
        <v>#N/A</v>
      </c>
      <c r="H134" s="88"/>
      <c r="I134" s="90"/>
      <c r="J134" s="277" t="e">
        <f>D134-G134</f>
        <v>#N/A</v>
      </c>
      <c r="K134" s="88"/>
      <c r="M134" s="85"/>
    </row>
    <row r="135" spans="1:13" ht="12.6" customHeight="1" x14ac:dyDescent="0.2">
      <c r="A135" s="85" t="s">
        <v>652</v>
      </c>
      <c r="C135" s="87"/>
      <c r="D135" s="114">
        <f>SUM(D122:D134)</f>
        <v>0</v>
      </c>
      <c r="E135" s="88"/>
      <c r="F135" s="90"/>
      <c r="G135" s="114" t="e">
        <f>SUM(G122:G134)</f>
        <v>#N/A</v>
      </c>
      <c r="H135" s="88"/>
      <c r="I135" s="90"/>
      <c r="J135" s="246" t="e">
        <f>SUM(J122:J134)</f>
        <v>#N/A</v>
      </c>
      <c r="K135" s="88"/>
      <c r="M135" s="85"/>
    </row>
    <row r="136" spans="1:13" ht="12.6" customHeight="1" x14ac:dyDescent="0.2">
      <c r="A136" s="85" t="s">
        <v>1441</v>
      </c>
      <c r="C136" s="87"/>
      <c r="D136" s="248"/>
      <c r="E136" s="88"/>
      <c r="F136" s="90"/>
      <c r="G136" s="248"/>
      <c r="H136" s="88"/>
      <c r="I136" s="90"/>
      <c r="J136" s="247"/>
      <c r="K136" s="88"/>
      <c r="M136" s="85"/>
    </row>
    <row r="137" spans="1:13" ht="12.6" customHeight="1" x14ac:dyDescent="0.2">
      <c r="A137" s="85" t="s">
        <v>1552</v>
      </c>
      <c r="C137" s="87"/>
      <c r="D137" s="248"/>
      <c r="E137" s="88"/>
      <c r="F137" s="90"/>
      <c r="G137" s="248"/>
      <c r="H137" s="88"/>
      <c r="I137" s="90"/>
      <c r="J137" s="247"/>
      <c r="K137" s="88"/>
      <c r="M137" s="85"/>
    </row>
    <row r="138" spans="1:13" ht="12.6" customHeight="1" x14ac:dyDescent="0.2">
      <c r="A138" s="1070" t="s">
        <v>1550</v>
      </c>
      <c r="C138" s="87"/>
      <c r="D138" s="258">
        <f t="shared" ref="D138:D144" si="4">D69</f>
        <v>0</v>
      </c>
      <c r="E138" s="88"/>
      <c r="F138" s="90"/>
      <c r="G138" s="341" t="e">
        <f>HLOOKUP($N$82,'HEI-PY Capital Assets'!$E$1:$Y$62,52,FALSE)</f>
        <v>#N/A</v>
      </c>
      <c r="H138" s="88"/>
      <c r="I138" s="90"/>
      <c r="J138" s="277" t="e">
        <f>D138-G138</f>
        <v>#N/A</v>
      </c>
      <c r="K138" s="88"/>
      <c r="M138" s="85"/>
    </row>
    <row r="139" spans="1:13" ht="12.6" customHeight="1" x14ac:dyDescent="0.2">
      <c r="A139" s="1070" t="s">
        <v>195</v>
      </c>
      <c r="C139" s="87"/>
      <c r="D139" s="258">
        <f t="shared" si="4"/>
        <v>0</v>
      </c>
      <c r="E139" s="88"/>
      <c r="F139" s="90"/>
      <c r="G139" s="341" t="e">
        <f>HLOOKUP($N$82,'HEI-PY Capital Assets'!$E$1:$Y$62,53,FALSE)</f>
        <v>#N/A</v>
      </c>
      <c r="H139" s="88"/>
      <c r="I139" s="90"/>
      <c r="J139" s="277" t="e">
        <f>D139-G139</f>
        <v>#N/A</v>
      </c>
      <c r="K139" s="88"/>
      <c r="M139" s="85"/>
    </row>
    <row r="140" spans="1:13" ht="12.6" customHeight="1" x14ac:dyDescent="0.2">
      <c r="A140" s="1070" t="s">
        <v>718</v>
      </c>
      <c r="C140" s="87"/>
      <c r="D140" s="258">
        <f t="shared" si="4"/>
        <v>0</v>
      </c>
      <c r="E140" s="88"/>
      <c r="F140" s="90"/>
      <c r="G140" s="341" t="e">
        <f>HLOOKUP($N$82,'HEI-PY Capital Assets'!$E$1:$Y$62,54,FALSE)</f>
        <v>#N/A</v>
      </c>
      <c r="H140" s="88"/>
      <c r="I140" s="90"/>
      <c r="J140" s="277" t="e">
        <f>D140-G140</f>
        <v>#N/A</v>
      </c>
      <c r="K140" s="88"/>
      <c r="M140" s="85"/>
    </row>
    <row r="141" spans="1:13" ht="12.6" customHeight="1" x14ac:dyDescent="0.2">
      <c r="A141" s="1070" t="s">
        <v>245</v>
      </c>
      <c r="D141" s="363">
        <f t="shared" si="4"/>
        <v>0</v>
      </c>
      <c r="G141" s="341" t="e">
        <f>HLOOKUP($N$82,'HEI-PY Capital Assets'!$E$1:$Y$62,55,FALSE)</f>
        <v>#N/A</v>
      </c>
      <c r="J141" s="277" t="e">
        <f>D141-G141</f>
        <v>#N/A</v>
      </c>
      <c r="M141" s="85"/>
    </row>
    <row r="142" spans="1:13" ht="12.6" customHeight="1" x14ac:dyDescent="0.2">
      <c r="A142" s="1070" t="s">
        <v>1417</v>
      </c>
      <c r="D142" s="363">
        <f t="shared" si="4"/>
        <v>0</v>
      </c>
      <c r="G142" s="341" t="e">
        <f>HLOOKUP($N$82,'HEI-PY Capital Assets'!$E$1:$Y$62,56,FALSE)</f>
        <v>#N/A</v>
      </c>
      <c r="J142" s="277" t="e">
        <f t="shared" ref="J142" si="5">D142-G142</f>
        <v>#N/A</v>
      </c>
      <c r="M142" s="85"/>
    </row>
    <row r="143" spans="1:13" ht="23.25" customHeight="1" x14ac:dyDescent="0.2">
      <c r="A143" s="624" t="s">
        <v>1699</v>
      </c>
      <c r="D143" s="363">
        <f t="shared" si="4"/>
        <v>0</v>
      </c>
      <c r="G143" s="341" t="e">
        <f>HLOOKUP($N$82,'HEI-PY Capital Assets'!$E$1:$Y$62,57,FALSE)</f>
        <v>#N/A</v>
      </c>
      <c r="J143" s="277" t="e">
        <f>D143-G143</f>
        <v>#N/A</v>
      </c>
      <c r="M143" s="85"/>
    </row>
    <row r="144" spans="1:13" ht="27.75" customHeight="1" x14ac:dyDescent="0.2">
      <c r="A144" s="624" t="s">
        <v>1549</v>
      </c>
      <c r="D144" s="363">
        <f t="shared" si="4"/>
        <v>0</v>
      </c>
      <c r="G144" s="341" t="e">
        <f>HLOOKUP($N$82,'HEI-PY Capital Assets'!$E$1:$Y$62,58,FALSE)</f>
        <v>#N/A</v>
      </c>
      <c r="J144" s="277" t="e">
        <f>D144-G144</f>
        <v>#N/A</v>
      </c>
      <c r="M144" s="85"/>
    </row>
    <row r="145" spans="1:13" ht="19.5" customHeight="1" x14ac:dyDescent="0.2">
      <c r="A145" s="1008" t="s">
        <v>1554</v>
      </c>
      <c r="D145" s="1003">
        <f>SUM(D138:D144)</f>
        <v>0</v>
      </c>
      <c r="G145" s="246" t="e">
        <f>SUM(G138:G144)</f>
        <v>#N/A</v>
      </c>
      <c r="J145" s="427" t="e">
        <f>SUM(J138:J144)</f>
        <v>#N/A</v>
      </c>
      <c r="M145" s="85"/>
    </row>
    <row r="146" spans="1:13" ht="16.5" customHeight="1" x14ac:dyDescent="0.2">
      <c r="A146" s="1007" t="s">
        <v>1443</v>
      </c>
      <c r="D146" s="1003">
        <f>SUM(D135,D145)</f>
        <v>0</v>
      </c>
      <c r="G146" s="246" t="e">
        <f>SUM(G135,G145)</f>
        <v>#N/A</v>
      </c>
      <c r="J146" s="246" t="e">
        <f>SUM(J135,J145)</f>
        <v>#N/A</v>
      </c>
      <c r="M146" s="85"/>
    </row>
    <row r="147" spans="1:13" ht="11.25" x14ac:dyDescent="0.2">
      <c r="D147" s="212"/>
      <c r="G147" s="248"/>
      <c r="J147" s="247"/>
      <c r="L147" s="91"/>
      <c r="M147" s="85"/>
    </row>
    <row r="148" spans="1:13" ht="11.25" x14ac:dyDescent="0.2">
      <c r="A148" s="85" t="s">
        <v>1428</v>
      </c>
      <c r="D148" s="363">
        <f>D119-D146</f>
        <v>0</v>
      </c>
      <c r="G148" s="258" t="e">
        <f>G119-G146</f>
        <v>#N/A</v>
      </c>
      <c r="J148" s="277" t="e">
        <f>J119-J146</f>
        <v>#N/A</v>
      </c>
      <c r="L148" s="91"/>
      <c r="M148" s="85"/>
    </row>
    <row r="149" spans="1:13" ht="12.75" customHeight="1" x14ac:dyDescent="0.2">
      <c r="D149" s="212"/>
      <c r="G149" s="237"/>
      <c r="J149" s="117"/>
      <c r="M149" s="85"/>
    </row>
    <row r="150" spans="1:13" ht="12.6" customHeight="1" thickBot="1" x14ac:dyDescent="0.25">
      <c r="A150" s="85" t="s">
        <v>654</v>
      </c>
      <c r="C150" s="99" t="s">
        <v>503</v>
      </c>
      <c r="D150" s="120">
        <f>SUM(D94,D148)</f>
        <v>0</v>
      </c>
      <c r="F150" s="99" t="s">
        <v>503</v>
      </c>
      <c r="G150" s="428" t="e">
        <f>SUM(G94,G148)</f>
        <v>#N/A</v>
      </c>
      <c r="I150" s="99" t="s">
        <v>503</v>
      </c>
      <c r="J150" s="429" t="e">
        <f>SUM(J94,J148)</f>
        <v>#N/A</v>
      </c>
      <c r="M150" s="85"/>
    </row>
    <row r="151" spans="1:13" ht="12.6" customHeight="1" thickTop="1" x14ac:dyDescent="0.2">
      <c r="D151" s="212"/>
      <c r="G151" s="212"/>
      <c r="J151" s="212"/>
      <c r="M151" s="85"/>
    </row>
    <row r="152" spans="1:13" ht="12.6" customHeight="1" x14ac:dyDescent="0.2">
      <c r="A152" s="85" t="s">
        <v>804</v>
      </c>
    </row>
    <row r="153" spans="1:13" ht="146.25" customHeight="1" x14ac:dyDescent="0.2">
      <c r="A153" s="1307"/>
      <c r="B153" s="1322"/>
      <c r="C153" s="1322"/>
      <c r="D153" s="1322"/>
      <c r="E153" s="1322"/>
      <c r="F153" s="1322"/>
      <c r="G153" s="1322"/>
      <c r="H153" s="1322"/>
      <c r="I153" s="1322"/>
      <c r="J153" s="1322"/>
      <c r="K153" s="1322"/>
      <c r="L153" s="1322"/>
      <c r="M153" s="1323"/>
    </row>
    <row r="154" spans="1:13" ht="12.6" customHeight="1" x14ac:dyDescent="0.2">
      <c r="D154" s="212"/>
      <c r="G154" s="212"/>
      <c r="J154" s="212"/>
      <c r="M154" s="85"/>
    </row>
    <row r="155" spans="1:13" ht="12.6" customHeight="1" x14ac:dyDescent="0.2">
      <c r="D155" s="212"/>
      <c r="G155" s="212"/>
      <c r="J155" s="212"/>
      <c r="M155" s="85"/>
    </row>
    <row r="156" spans="1:13" ht="12.6" customHeight="1" x14ac:dyDescent="0.2">
      <c r="A156" s="100" t="s">
        <v>199</v>
      </c>
      <c r="D156" s="101"/>
      <c r="G156" s="101"/>
      <c r="J156" s="101"/>
      <c r="M156" s="101"/>
    </row>
    <row r="157" spans="1:13" ht="12.6" customHeight="1" x14ac:dyDescent="0.2">
      <c r="A157" s="85" t="s">
        <v>14</v>
      </c>
      <c r="G157" s="102"/>
      <c r="J157" s="102"/>
      <c r="M157" s="752" t="s">
        <v>1038</v>
      </c>
    </row>
    <row r="158" spans="1:13" ht="12.6" customHeight="1" x14ac:dyDescent="0.2">
      <c r="G158" s="96"/>
    </row>
    <row r="159" spans="1:13" ht="12.6" customHeight="1" x14ac:dyDescent="0.2">
      <c r="A159" s="85" t="s">
        <v>669</v>
      </c>
      <c r="G159" s="96"/>
    </row>
    <row r="160" spans="1:13" ht="225" customHeight="1" x14ac:dyDescent="0.2">
      <c r="A160" s="1289" t="s">
        <v>1714</v>
      </c>
      <c r="B160" s="1290"/>
      <c r="C160" s="1290"/>
      <c r="D160" s="1291"/>
      <c r="E160" s="1290"/>
      <c r="F160" s="1290"/>
      <c r="G160" s="1291"/>
      <c r="H160" s="1290"/>
      <c r="I160" s="1290"/>
      <c r="J160" s="1291"/>
      <c r="K160" s="1290"/>
      <c r="L160" s="1290"/>
      <c r="M160" s="1292"/>
    </row>
    <row r="161" spans="1:13" s="78" customFormat="1" ht="78.75" customHeight="1" x14ac:dyDescent="0.2">
      <c r="A161" s="1300" t="s">
        <v>1527</v>
      </c>
      <c r="B161" s="1301"/>
      <c r="C161" s="1301"/>
      <c r="D161" s="1301"/>
      <c r="E161" s="1301"/>
      <c r="F161" s="1301"/>
      <c r="G161" s="1301"/>
      <c r="H161" s="1301"/>
      <c r="I161" s="1301"/>
      <c r="J161" s="1301"/>
      <c r="K161" s="1301"/>
      <c r="L161" s="1301"/>
      <c r="M161" s="1302"/>
    </row>
    <row r="162" spans="1:13" ht="103.15" customHeight="1" x14ac:dyDescent="0.2">
      <c r="A162" s="1293" t="s">
        <v>1700</v>
      </c>
      <c r="B162" s="1294"/>
      <c r="C162" s="1294"/>
      <c r="D162" s="1295"/>
      <c r="E162" s="1294"/>
      <c r="F162" s="1294"/>
      <c r="G162" s="1295"/>
      <c r="H162" s="1294"/>
      <c r="I162" s="1294"/>
      <c r="J162" s="1295"/>
      <c r="K162" s="1294"/>
      <c r="L162" s="1294"/>
      <c r="M162" s="1296"/>
    </row>
    <row r="163" spans="1:13" ht="12.6" customHeight="1" x14ac:dyDescent="0.2">
      <c r="A163" s="85" t="s">
        <v>668</v>
      </c>
    </row>
    <row r="164" spans="1:13" ht="123" customHeight="1" x14ac:dyDescent="0.2">
      <c r="A164" s="1307"/>
      <c r="B164" s="1315"/>
      <c r="C164" s="1315"/>
      <c r="D164" s="1316"/>
      <c r="E164" s="1315"/>
      <c r="F164" s="1315"/>
      <c r="G164" s="1316"/>
      <c r="H164" s="1315"/>
      <c r="I164" s="1315"/>
      <c r="J164" s="1316"/>
      <c r="K164" s="1315"/>
      <c r="L164" s="1315"/>
      <c r="M164" s="1317"/>
    </row>
    <row r="165" spans="1:13" ht="4.5" customHeight="1" x14ac:dyDescent="0.2">
      <c r="A165" s="103"/>
      <c r="D165" s="101"/>
      <c r="G165" s="101"/>
      <c r="J165" s="101"/>
      <c r="M165" s="104"/>
    </row>
    <row r="166" spans="1:13" ht="12.6" customHeight="1" x14ac:dyDescent="0.2">
      <c r="A166" s="103" t="s">
        <v>634</v>
      </c>
      <c r="D166" s="101"/>
      <c r="G166" s="101"/>
      <c r="J166" s="101"/>
      <c r="M166" s="104"/>
    </row>
    <row r="167" spans="1:13" ht="12.6" customHeight="1" x14ac:dyDescent="0.2">
      <c r="A167" s="103"/>
      <c r="D167" s="101"/>
      <c r="G167" s="101"/>
      <c r="J167" s="105" t="s">
        <v>503</v>
      </c>
      <c r="M167" s="104"/>
    </row>
    <row r="168" spans="1:13" ht="12.6" customHeight="1" x14ac:dyDescent="0.2">
      <c r="A168" s="103" t="s">
        <v>391</v>
      </c>
      <c r="D168" s="101" t="s">
        <v>191</v>
      </c>
      <c r="G168" s="101"/>
      <c r="J168" s="116"/>
      <c r="M168" s="104"/>
    </row>
    <row r="169" spans="1:13" ht="12.6" customHeight="1" x14ac:dyDescent="0.2">
      <c r="A169" s="103"/>
      <c r="D169" s="101" t="s">
        <v>296</v>
      </c>
      <c r="G169" s="101"/>
      <c r="J169" s="116"/>
      <c r="M169" s="104"/>
    </row>
    <row r="170" spans="1:13" ht="12.6" customHeight="1" x14ac:dyDescent="0.2">
      <c r="A170" s="103"/>
      <c r="D170" s="101" t="s">
        <v>390</v>
      </c>
      <c r="G170" s="101"/>
      <c r="J170" s="116"/>
      <c r="M170" s="104"/>
    </row>
    <row r="171" spans="1:13" ht="12.6" customHeight="1" x14ac:dyDescent="0.2">
      <c r="A171" s="103"/>
      <c r="D171" s="101" t="s">
        <v>194</v>
      </c>
      <c r="G171" s="101"/>
      <c r="J171" s="116"/>
      <c r="M171" s="104"/>
    </row>
    <row r="172" spans="1:13" ht="12.6" customHeight="1" x14ac:dyDescent="0.2">
      <c r="A172" s="103"/>
      <c r="D172" s="101" t="s">
        <v>310</v>
      </c>
      <c r="G172" s="101"/>
      <c r="J172" s="116"/>
      <c r="M172" s="104"/>
    </row>
    <row r="173" spans="1:13" ht="12.6" customHeight="1" x14ac:dyDescent="0.2">
      <c r="A173" s="103"/>
      <c r="D173" s="101"/>
      <c r="G173" s="101"/>
      <c r="J173" s="279"/>
      <c r="M173" s="104"/>
    </row>
    <row r="174" spans="1:13" ht="12.6" customHeight="1" x14ac:dyDescent="0.2">
      <c r="A174" s="103" t="s">
        <v>392</v>
      </c>
      <c r="D174" s="101" t="s">
        <v>195</v>
      </c>
      <c r="G174" s="106"/>
      <c r="J174" s="116"/>
      <c r="M174" s="104"/>
    </row>
    <row r="175" spans="1:13" ht="12.6" customHeight="1" x14ac:dyDescent="0.2">
      <c r="A175" s="103"/>
      <c r="D175" s="101" t="s">
        <v>718</v>
      </c>
      <c r="G175" s="106"/>
      <c r="J175" s="116"/>
      <c r="M175" s="104"/>
    </row>
    <row r="176" spans="1:13" ht="12.6" customHeight="1" x14ac:dyDescent="0.2">
      <c r="A176" s="103"/>
      <c r="D176" s="101" t="s">
        <v>717</v>
      </c>
      <c r="G176" s="106"/>
      <c r="J176" s="116"/>
      <c r="M176" s="104"/>
    </row>
    <row r="177" spans="1:13" ht="12.6" customHeight="1" x14ac:dyDescent="0.2">
      <c r="A177" s="103"/>
      <c r="D177" s="101" t="s">
        <v>656</v>
      </c>
      <c r="G177" s="106"/>
      <c r="J177" s="116"/>
      <c r="M177" s="104"/>
    </row>
    <row r="178" spans="1:13" ht="12.6" customHeight="1" x14ac:dyDescent="0.2">
      <c r="A178" s="103"/>
      <c r="D178" s="101" t="s">
        <v>670</v>
      </c>
      <c r="G178" s="106"/>
      <c r="J178" s="116"/>
      <c r="M178" s="104"/>
    </row>
    <row r="179" spans="1:13" ht="12.6" customHeight="1" x14ac:dyDescent="0.2">
      <c r="A179" s="103"/>
      <c r="D179" s="101" t="s">
        <v>719</v>
      </c>
      <c r="G179" s="106"/>
      <c r="J179" s="116"/>
      <c r="M179" s="104"/>
    </row>
    <row r="180" spans="1:13" ht="12.6" customHeight="1" x14ac:dyDescent="0.2">
      <c r="A180" s="103"/>
      <c r="D180" s="101" t="s">
        <v>615</v>
      </c>
      <c r="G180" s="106"/>
      <c r="J180" s="279"/>
      <c r="M180" s="104"/>
    </row>
    <row r="181" spans="1:13" ht="12.6" customHeight="1" x14ac:dyDescent="0.2">
      <c r="A181" s="103"/>
      <c r="D181" s="149" t="s">
        <v>205</v>
      </c>
      <c r="G181" s="106"/>
      <c r="J181" s="116"/>
      <c r="M181" s="104"/>
    </row>
    <row r="182" spans="1:13" ht="12.6" customHeight="1" x14ac:dyDescent="0.2">
      <c r="A182" s="103"/>
      <c r="D182" s="149" t="s">
        <v>249</v>
      </c>
      <c r="G182" s="106"/>
      <c r="J182" s="116"/>
      <c r="M182" s="104"/>
    </row>
    <row r="183" spans="1:13" ht="12.6" customHeight="1" x14ac:dyDescent="0.2">
      <c r="A183" s="103"/>
      <c r="D183" s="149" t="s">
        <v>250</v>
      </c>
      <c r="G183" s="106"/>
      <c r="J183" s="116"/>
      <c r="M183" s="104"/>
    </row>
    <row r="184" spans="1:13" ht="12.6" customHeight="1" x14ac:dyDescent="0.2">
      <c r="A184" s="103"/>
      <c r="D184" s="149" t="s">
        <v>614</v>
      </c>
      <c r="G184" s="106"/>
      <c r="J184" s="116"/>
      <c r="M184" s="104"/>
    </row>
    <row r="185" spans="1:13" ht="6" customHeight="1" x14ac:dyDescent="0.2">
      <c r="A185" s="103"/>
      <c r="D185" s="101"/>
      <c r="G185" s="106"/>
      <c r="J185" s="102"/>
      <c r="M185" s="104"/>
    </row>
    <row r="186" spans="1:13" ht="10.9" customHeight="1" x14ac:dyDescent="0.2">
      <c r="A186" s="1106" t="s">
        <v>1438</v>
      </c>
      <c r="B186" s="1070"/>
      <c r="C186" s="1070"/>
      <c r="D186" s="1070"/>
      <c r="G186" s="106"/>
      <c r="J186" s="102"/>
      <c r="M186" s="104"/>
    </row>
    <row r="187" spans="1:13" ht="11.25" x14ac:dyDescent="0.2">
      <c r="A187" s="103"/>
      <c r="D187" s="101" t="s">
        <v>191</v>
      </c>
      <c r="G187" s="106"/>
      <c r="J187" s="116"/>
      <c r="M187" s="104"/>
    </row>
    <row r="188" spans="1:13" ht="11.25" x14ac:dyDescent="0.2">
      <c r="A188" s="103"/>
      <c r="D188" s="101" t="s">
        <v>195</v>
      </c>
      <c r="G188" s="106"/>
      <c r="J188" s="116"/>
      <c r="M188" s="104"/>
    </row>
    <row r="189" spans="1:13" ht="11.25" x14ac:dyDescent="0.2">
      <c r="A189" s="103"/>
      <c r="D189" s="101" t="s">
        <v>718</v>
      </c>
      <c r="G189" s="106"/>
      <c r="J189" s="116"/>
      <c r="M189" s="104"/>
    </row>
    <row r="190" spans="1:13" ht="11.25" x14ac:dyDescent="0.2">
      <c r="A190" s="103"/>
      <c r="D190" s="101" t="s">
        <v>245</v>
      </c>
      <c r="G190" s="106"/>
      <c r="J190" s="116"/>
      <c r="M190" s="104"/>
    </row>
    <row r="191" spans="1:13" ht="11.25" x14ac:dyDescent="0.2">
      <c r="A191" s="103"/>
      <c r="D191" s="101" t="s">
        <v>1417</v>
      </c>
      <c r="G191" s="106"/>
      <c r="J191" s="116"/>
      <c r="M191" s="104"/>
    </row>
    <row r="192" spans="1:13" ht="11.25" x14ac:dyDescent="0.2">
      <c r="A192" s="1105" t="s">
        <v>1581</v>
      </c>
      <c r="D192" s="101"/>
      <c r="G192" s="106"/>
      <c r="J192" s="116"/>
      <c r="M192" s="104"/>
    </row>
    <row r="193" spans="1:13" ht="11.25" x14ac:dyDescent="0.2">
      <c r="A193" s="1105" t="s">
        <v>1577</v>
      </c>
      <c r="D193" s="101"/>
      <c r="G193" s="106"/>
      <c r="J193" s="116"/>
      <c r="M193" s="104"/>
    </row>
    <row r="194" spans="1:13" ht="17.25" customHeight="1" x14ac:dyDescent="0.2">
      <c r="A194" s="103" t="s">
        <v>671</v>
      </c>
      <c r="D194" s="107"/>
      <c r="G194" s="107"/>
      <c r="J194" s="107"/>
      <c r="M194" s="108"/>
    </row>
    <row r="195" spans="1:13" ht="12.6" customHeight="1" x14ac:dyDescent="0.2">
      <c r="A195" s="103"/>
      <c r="D195" s="101"/>
      <c r="G195" s="105"/>
      <c r="J195" s="105"/>
      <c r="M195" s="104"/>
    </row>
    <row r="196" spans="1:13" ht="12.6" customHeight="1" x14ac:dyDescent="0.2">
      <c r="A196" s="103"/>
      <c r="D196" s="101" t="s">
        <v>195</v>
      </c>
      <c r="G196" s="106"/>
      <c r="J196" s="111"/>
      <c r="M196" s="104"/>
    </row>
    <row r="197" spans="1:13" ht="12.6" customHeight="1" x14ac:dyDescent="0.2">
      <c r="A197" s="103"/>
      <c r="D197" s="101" t="s">
        <v>718</v>
      </c>
      <c r="G197" s="106"/>
      <c r="J197" s="745"/>
      <c r="M197" s="104"/>
    </row>
    <row r="198" spans="1:13" ht="12.6" customHeight="1" x14ac:dyDescent="0.2">
      <c r="A198" s="103"/>
      <c r="D198" s="101" t="s">
        <v>717</v>
      </c>
      <c r="G198" s="106"/>
      <c r="J198" s="111"/>
      <c r="M198" s="104"/>
    </row>
    <row r="199" spans="1:13" ht="12.6" customHeight="1" x14ac:dyDescent="0.2">
      <c r="A199" s="103"/>
      <c r="D199" s="101" t="s">
        <v>656</v>
      </c>
      <c r="G199" s="106"/>
      <c r="J199" s="111"/>
      <c r="M199" s="104"/>
    </row>
    <row r="200" spans="1:13" ht="12.6" customHeight="1" x14ac:dyDescent="0.2">
      <c r="A200" s="103"/>
      <c r="D200" s="101" t="s">
        <v>670</v>
      </c>
      <c r="G200" s="106"/>
      <c r="J200" s="111"/>
      <c r="M200" s="104"/>
    </row>
    <row r="201" spans="1:13" ht="12.6" customHeight="1" x14ac:dyDescent="0.2">
      <c r="A201" s="103"/>
      <c r="D201" s="101" t="s">
        <v>719</v>
      </c>
      <c r="G201" s="106"/>
      <c r="J201" s="111"/>
      <c r="M201" s="104"/>
    </row>
    <row r="202" spans="1:13" ht="12.6" customHeight="1" x14ac:dyDescent="0.2">
      <c r="A202" s="103"/>
      <c r="D202" s="101" t="s">
        <v>615</v>
      </c>
      <c r="G202" s="106"/>
      <c r="J202" s="612"/>
      <c r="M202" s="104"/>
    </row>
    <row r="203" spans="1:13" ht="12.6" customHeight="1" x14ac:dyDescent="0.2">
      <c r="A203" s="103"/>
      <c r="D203" s="149" t="s">
        <v>205</v>
      </c>
      <c r="G203" s="106"/>
      <c r="J203" s="745"/>
      <c r="M203" s="104"/>
    </row>
    <row r="204" spans="1:13" ht="12.6" customHeight="1" x14ac:dyDescent="0.2">
      <c r="A204" s="103"/>
      <c r="D204" s="149" t="s">
        <v>249</v>
      </c>
      <c r="G204" s="106"/>
      <c r="J204" s="111"/>
      <c r="M204" s="104"/>
    </row>
    <row r="205" spans="1:13" ht="12.6" customHeight="1" x14ac:dyDescent="0.2">
      <c r="A205" s="103"/>
      <c r="D205" s="149" t="s">
        <v>250</v>
      </c>
      <c r="G205" s="106"/>
      <c r="J205" s="111"/>
      <c r="M205" s="104"/>
    </row>
    <row r="206" spans="1:13" ht="12.6" customHeight="1" x14ac:dyDescent="0.2">
      <c r="A206" s="103"/>
      <c r="D206" s="149" t="s">
        <v>614</v>
      </c>
      <c r="G206" s="106"/>
      <c r="J206" s="111"/>
      <c r="M206" s="104"/>
    </row>
    <row r="207" spans="1:13" ht="12.6" customHeight="1" x14ac:dyDescent="0.2">
      <c r="A207" s="103"/>
      <c r="D207" s="149"/>
      <c r="G207" s="106"/>
      <c r="J207" s="1006"/>
      <c r="M207" s="104"/>
    </row>
    <row r="208" spans="1:13" ht="10.9" customHeight="1" x14ac:dyDescent="0.2">
      <c r="A208" s="1105" t="s">
        <v>1438</v>
      </c>
      <c r="D208" s="101"/>
      <c r="G208" s="106"/>
      <c r="J208" s="102"/>
      <c r="M208" s="104"/>
    </row>
    <row r="209" spans="1:13" ht="13.15" customHeight="1" x14ac:dyDescent="0.2">
      <c r="A209" s="103"/>
      <c r="D209" s="101" t="s">
        <v>191</v>
      </c>
      <c r="G209" s="106"/>
      <c r="J209" s="111"/>
      <c r="M209" s="104"/>
    </row>
    <row r="210" spans="1:13" ht="11.25" x14ac:dyDescent="0.2">
      <c r="A210" s="103"/>
      <c r="D210" s="101" t="s">
        <v>195</v>
      </c>
      <c r="G210" s="106"/>
      <c r="J210" s="745"/>
      <c r="M210" s="104"/>
    </row>
    <row r="211" spans="1:13" ht="11.25" x14ac:dyDescent="0.2">
      <c r="A211" s="103"/>
      <c r="D211" s="101" t="s">
        <v>718</v>
      </c>
      <c r="G211" s="106"/>
      <c r="J211" s="111"/>
      <c r="M211" s="104"/>
    </row>
    <row r="212" spans="1:13" ht="11.25" x14ac:dyDescent="0.2">
      <c r="A212" s="103"/>
      <c r="D212" s="101" t="s">
        <v>245</v>
      </c>
      <c r="G212" s="106"/>
      <c r="J212" s="111"/>
      <c r="M212" s="104"/>
    </row>
    <row r="213" spans="1:13" ht="11.25" x14ac:dyDescent="0.2">
      <c r="A213" s="103"/>
      <c r="D213" s="101" t="s">
        <v>1417</v>
      </c>
      <c r="G213" s="106"/>
      <c r="J213" s="111"/>
      <c r="M213" s="104"/>
    </row>
    <row r="214" spans="1:13" ht="12.6" customHeight="1" x14ac:dyDescent="0.2">
      <c r="A214" s="1069" t="s">
        <v>1581</v>
      </c>
      <c r="D214" s="101"/>
      <c r="G214" s="101"/>
      <c r="J214" s="111"/>
      <c r="M214" s="104"/>
    </row>
    <row r="215" spans="1:13" ht="12.6" customHeight="1" x14ac:dyDescent="0.2">
      <c r="A215" s="1069" t="s">
        <v>1577</v>
      </c>
      <c r="D215" s="101"/>
      <c r="G215" s="101"/>
      <c r="J215" s="111"/>
      <c r="M215" s="104"/>
    </row>
    <row r="216" spans="1:13" ht="19.5" customHeight="1" x14ac:dyDescent="0.2">
      <c r="A216" s="1297" t="s">
        <v>374</v>
      </c>
      <c r="B216" s="1298"/>
      <c r="C216" s="1298"/>
      <c r="D216" s="1298"/>
      <c r="E216" s="1298"/>
      <c r="F216" s="1298"/>
      <c r="G216" s="1298"/>
      <c r="H216" s="1298"/>
      <c r="I216" s="1298"/>
      <c r="J216" s="1298"/>
      <c r="K216" s="1298"/>
      <c r="L216" s="1298"/>
      <c r="M216" s="1306"/>
    </row>
    <row r="217" spans="1:13" ht="120" customHeight="1" x14ac:dyDescent="0.2">
      <c r="A217" s="1307"/>
      <c r="B217" s="1308"/>
      <c r="C217" s="1308"/>
      <c r="D217" s="1308"/>
      <c r="E217" s="1308"/>
      <c r="F217" s="1308"/>
      <c r="G217" s="1308"/>
      <c r="H217" s="1308"/>
      <c r="I217" s="1308"/>
      <c r="J217" s="1308"/>
      <c r="K217" s="1308"/>
      <c r="L217" s="1308"/>
      <c r="M217" s="1309"/>
    </row>
    <row r="218" spans="1:13" ht="12.6" customHeight="1" x14ac:dyDescent="0.2">
      <c r="D218" s="101"/>
      <c r="G218" s="101"/>
      <c r="J218" s="101"/>
      <c r="M218" s="101"/>
    </row>
    <row r="219" spans="1:13" ht="12.6" hidden="1" customHeight="1" x14ac:dyDescent="0.2">
      <c r="A219" s="100" t="s">
        <v>200</v>
      </c>
    </row>
    <row r="220" spans="1:13" ht="5.25" hidden="1" customHeight="1" x14ac:dyDescent="0.2"/>
    <row r="221" spans="1:13" ht="36" hidden="1" customHeight="1" x14ac:dyDescent="0.2">
      <c r="A221" s="1299" t="s">
        <v>916</v>
      </c>
      <c r="B221" s="1162"/>
      <c r="C221" s="1162"/>
      <c r="D221" s="1162"/>
      <c r="E221" s="1162"/>
      <c r="F221" s="1162"/>
      <c r="G221" s="1162"/>
      <c r="H221" s="1162"/>
      <c r="I221" s="1162"/>
      <c r="J221" s="1162"/>
      <c r="M221" s="794"/>
    </row>
    <row r="222" spans="1:13" ht="4.5" hidden="1" customHeight="1" x14ac:dyDescent="0.2">
      <c r="A222" s="803"/>
      <c r="B222" s="803"/>
      <c r="C222" s="803"/>
      <c r="D222" s="803"/>
      <c r="E222" s="803"/>
      <c r="F222" s="803"/>
      <c r="G222" s="803"/>
      <c r="H222" s="803"/>
      <c r="I222" s="803"/>
      <c r="J222" s="803"/>
    </row>
    <row r="223" spans="1:13" ht="12.6" hidden="1" customHeight="1" x14ac:dyDescent="0.2">
      <c r="A223" s="85" t="s">
        <v>974</v>
      </c>
    </row>
    <row r="224" spans="1:13" ht="5.25" hidden="1" customHeight="1" x14ac:dyDescent="0.2"/>
    <row r="225" spans="1:13" ht="83.25" hidden="1" customHeight="1" x14ac:dyDescent="0.2">
      <c r="A225" s="1303"/>
      <c r="B225" s="1304"/>
      <c r="C225" s="1304"/>
      <c r="D225" s="1304"/>
      <c r="E225" s="1304"/>
      <c r="F225" s="1304"/>
      <c r="G225" s="1304"/>
      <c r="H225" s="1304"/>
      <c r="I225" s="1304"/>
      <c r="J225" s="1304"/>
      <c r="K225" s="1304"/>
      <c r="L225" s="1304"/>
      <c r="M225" s="1305"/>
    </row>
    <row r="226" spans="1:13" ht="6" hidden="1" customHeight="1" x14ac:dyDescent="0.2"/>
    <row r="227" spans="1:13" ht="34.5" hidden="1" customHeight="1" x14ac:dyDescent="0.2">
      <c r="A227" s="1299" t="s">
        <v>917</v>
      </c>
      <c r="B227" s="1264"/>
      <c r="C227" s="1264"/>
      <c r="D227" s="1264"/>
      <c r="E227" s="1264"/>
      <c r="F227" s="1264"/>
      <c r="G227" s="1264"/>
      <c r="H227" s="478"/>
      <c r="I227" s="478"/>
      <c r="J227" s="110"/>
      <c r="K227" s="478"/>
      <c r="L227" s="478"/>
      <c r="M227" s="795"/>
    </row>
    <row r="228" spans="1:13" ht="6" hidden="1" customHeight="1" x14ac:dyDescent="0.2"/>
    <row r="229" spans="1:13" ht="12.75" hidden="1" x14ac:dyDescent="0.2">
      <c r="A229" s="1299" t="s">
        <v>328</v>
      </c>
      <c r="B229" s="1264"/>
      <c r="C229" s="1264"/>
      <c r="D229" s="1264"/>
      <c r="E229" s="1264"/>
      <c r="F229" s="1264"/>
      <c r="G229" s="1264"/>
      <c r="H229" s="1264"/>
      <c r="I229" s="1264"/>
      <c r="J229" s="1264"/>
      <c r="K229" s="1162"/>
      <c r="L229" s="1162"/>
      <c r="M229" s="1162"/>
    </row>
    <row r="230" spans="1:13" ht="12.75" hidden="1" x14ac:dyDescent="0.2">
      <c r="A230" s="1299" t="s">
        <v>329</v>
      </c>
      <c r="B230" s="1264"/>
      <c r="C230" s="1264"/>
      <c r="D230" s="1264"/>
      <c r="E230" s="1264"/>
      <c r="F230" s="1264"/>
      <c r="G230" s="1264"/>
      <c r="H230" s="1264"/>
      <c r="I230" s="1264"/>
      <c r="J230" s="1264"/>
    </row>
    <row r="231" spans="1:13" ht="24" hidden="1" customHeight="1" x14ac:dyDescent="0.2">
      <c r="A231" s="1299" t="s">
        <v>330</v>
      </c>
      <c r="B231" s="1264"/>
      <c r="C231" s="1264"/>
      <c r="D231" s="1264"/>
      <c r="E231" s="1264"/>
      <c r="F231" s="1264"/>
      <c r="G231" s="1264"/>
      <c r="H231" s="1264"/>
      <c r="I231" s="1264"/>
      <c r="J231" s="1264"/>
      <c r="K231" s="1162"/>
      <c r="L231" s="1162"/>
      <c r="M231" s="1162"/>
    </row>
    <row r="232" spans="1:13" ht="12.6" hidden="1" customHeight="1" x14ac:dyDescent="0.2">
      <c r="A232" s="109"/>
      <c r="B232" s="109"/>
      <c r="C232" s="109"/>
      <c r="D232" s="97"/>
      <c r="E232" s="109"/>
      <c r="F232" s="109"/>
      <c r="G232" s="97"/>
      <c r="H232" s="109"/>
      <c r="I232" s="109"/>
      <c r="J232" s="97"/>
      <c r="K232" s="109"/>
      <c r="L232" s="109"/>
      <c r="M232" s="97"/>
    </row>
    <row r="233" spans="1:13" ht="35.25" customHeight="1" x14ac:dyDescent="0.2">
      <c r="A233" s="1310" t="s">
        <v>1663</v>
      </c>
      <c r="B233" s="1310"/>
      <c r="C233" s="1310"/>
      <c r="D233" s="1310"/>
      <c r="E233" s="1310"/>
      <c r="F233" s="1310"/>
      <c r="G233" s="1310"/>
      <c r="H233" s="1310"/>
      <c r="I233" s="1310"/>
      <c r="J233" s="1310"/>
      <c r="K233" s="1310"/>
      <c r="L233" s="1310"/>
      <c r="M233" s="1310"/>
    </row>
    <row r="234" spans="1:13" ht="12.6" customHeight="1" x14ac:dyDescent="0.2">
      <c r="A234" s="85" t="s">
        <v>1528</v>
      </c>
    </row>
    <row r="236" spans="1:13" ht="12.6" customHeight="1" x14ac:dyDescent="0.2">
      <c r="A236" s="85" t="s">
        <v>1582</v>
      </c>
    </row>
    <row r="237" spans="1:13" ht="24" customHeight="1" x14ac:dyDescent="0.2">
      <c r="A237" s="1311" t="s">
        <v>1701</v>
      </c>
      <c r="B237" s="1311"/>
      <c r="C237" s="1311"/>
      <c r="D237" s="1311"/>
      <c r="E237" s="1311"/>
      <c r="F237" s="1311"/>
      <c r="G237" s="1311"/>
      <c r="H237" s="1311"/>
      <c r="I237" s="1311"/>
      <c r="J237" s="336" t="s">
        <v>143</v>
      </c>
      <c r="M237" s="111" t="s">
        <v>1038</v>
      </c>
    </row>
    <row r="238" spans="1:13" ht="12.6" customHeight="1" x14ac:dyDescent="0.2">
      <c r="A238" s="335"/>
    </row>
    <row r="239" spans="1:13" ht="28.5" customHeight="1" x14ac:dyDescent="0.2">
      <c r="A239" s="1297" t="s">
        <v>1662</v>
      </c>
      <c r="B239" s="1298"/>
      <c r="C239" s="1298"/>
      <c r="D239" s="1298"/>
      <c r="E239" s="1298"/>
      <c r="F239" s="1298"/>
      <c r="G239" s="1298"/>
      <c r="H239" s="1298"/>
      <c r="I239" s="1298"/>
      <c r="J239" s="1298"/>
      <c r="K239" s="1298"/>
      <c r="L239" s="1298"/>
      <c r="M239" s="1298"/>
    </row>
    <row r="240" spans="1:13" ht="60" customHeight="1" x14ac:dyDescent="0.2">
      <c r="A240" s="1326" t="str">
        <f>IF(M237="YES","Answer Required","N/A")</f>
        <v>N/A</v>
      </c>
      <c r="B240" s="1327"/>
      <c r="C240" s="1327"/>
      <c r="D240" s="1327"/>
      <c r="E240" s="1327"/>
      <c r="F240" s="1327"/>
      <c r="G240" s="1327"/>
      <c r="H240" s="1327"/>
      <c r="I240" s="1327"/>
      <c r="J240" s="1327"/>
      <c r="K240" s="1327"/>
      <c r="L240" s="1327"/>
      <c r="M240" s="1328"/>
    </row>
    <row r="242" spans="1:15" ht="12.6" customHeight="1" x14ac:dyDescent="0.2">
      <c r="A242" s="85" t="s">
        <v>619</v>
      </c>
    </row>
    <row r="243" spans="1:15" ht="12.6" customHeight="1" x14ac:dyDescent="0.2">
      <c r="A243" s="85" t="s">
        <v>703</v>
      </c>
      <c r="J243" s="336" t="s">
        <v>143</v>
      </c>
      <c r="M243" s="111" t="str">
        <f>IF(M237="yes","Answer Required","N/A")</f>
        <v>N/A</v>
      </c>
    </row>
    <row r="244" spans="1:15" ht="12.6" customHeight="1" x14ac:dyDescent="0.2">
      <c r="A244" s="85" t="s">
        <v>1058</v>
      </c>
      <c r="J244" s="339"/>
      <c r="M244" s="102"/>
    </row>
    <row r="245" spans="1:15" ht="12.6" customHeight="1" x14ac:dyDescent="0.2">
      <c r="J245" s="339"/>
      <c r="M245" s="102"/>
    </row>
    <row r="246" spans="1:15" ht="12.6" customHeight="1" x14ac:dyDescent="0.2">
      <c r="A246" s="85" t="s">
        <v>620</v>
      </c>
      <c r="J246" s="336" t="s">
        <v>143</v>
      </c>
      <c r="M246" s="111" t="str">
        <f>IF(AND(M237="yes",M243="yes"),"Answer Required","N/A")</f>
        <v>N/A</v>
      </c>
    </row>
    <row r="247" spans="1:15" ht="12.6" customHeight="1" x14ac:dyDescent="0.2">
      <c r="A247" s="85" t="s">
        <v>1059</v>
      </c>
    </row>
    <row r="249" spans="1:15" ht="12.6" customHeight="1" x14ac:dyDescent="0.2">
      <c r="A249" s="85" t="s">
        <v>777</v>
      </c>
      <c r="J249" s="96"/>
      <c r="M249" s="102"/>
    </row>
    <row r="250" spans="1:15" ht="25.5" customHeight="1" x14ac:dyDescent="0.2">
      <c r="A250" s="1311" t="s">
        <v>1702</v>
      </c>
      <c r="B250" s="1311"/>
      <c r="C250" s="1311"/>
      <c r="D250" s="1311"/>
      <c r="E250" s="1311"/>
      <c r="F250" s="1311"/>
      <c r="G250" s="1311"/>
      <c r="H250" s="1311"/>
      <c r="I250" s="1311"/>
      <c r="J250" s="336" t="s">
        <v>143</v>
      </c>
      <c r="M250" s="111" t="str">
        <f>IF(AND(M237="yes",M243="yes",M246="yes"),"Answer Required","N/A")</f>
        <v>N/A</v>
      </c>
    </row>
    <row r="251" spans="1:15" ht="12.6" customHeight="1" x14ac:dyDescent="0.2">
      <c r="M251" s="102"/>
    </row>
    <row r="252" spans="1:15" ht="35.25" customHeight="1" x14ac:dyDescent="0.2">
      <c r="A252" s="1299" t="s">
        <v>1811</v>
      </c>
      <c r="B252" s="1162"/>
      <c r="C252" s="1162"/>
      <c r="D252" s="1162"/>
      <c r="E252" s="1162"/>
      <c r="F252" s="1162"/>
      <c r="G252" s="1162"/>
      <c r="H252" s="1162"/>
      <c r="I252" s="1162"/>
      <c r="J252" s="1162"/>
      <c r="K252" s="1162"/>
      <c r="L252" s="1162"/>
      <c r="M252" s="1162"/>
    </row>
    <row r="254" spans="1:15" ht="77.25" customHeight="1" x14ac:dyDescent="0.2">
      <c r="G254" s="336" t="s">
        <v>617</v>
      </c>
      <c r="J254" s="337" t="s">
        <v>752</v>
      </c>
      <c r="M254" s="337" t="s">
        <v>579</v>
      </c>
      <c r="N254" s="343" t="s">
        <v>580</v>
      </c>
    </row>
    <row r="255" spans="1:15" ht="12.6" customHeight="1" x14ac:dyDescent="0.2">
      <c r="G255" s="336" t="s">
        <v>640</v>
      </c>
      <c r="J255" s="116"/>
      <c r="M255" s="116"/>
      <c r="N255" s="484">
        <f>SUM(J255,M255)</f>
        <v>0</v>
      </c>
      <c r="O255" s="18"/>
    </row>
    <row r="256" spans="1:15" ht="12.6" customHeight="1" x14ac:dyDescent="0.2">
      <c r="G256" s="336" t="s">
        <v>302</v>
      </c>
      <c r="J256" s="116"/>
      <c r="M256" s="116"/>
      <c r="N256" s="484">
        <f>SUM(J256,M256)</f>
        <v>0</v>
      </c>
      <c r="O256" s="18"/>
    </row>
    <row r="257" spans="1:15" ht="12.6" customHeight="1" x14ac:dyDescent="0.2">
      <c r="G257" s="336" t="s">
        <v>303</v>
      </c>
      <c r="J257" s="116"/>
      <c r="M257" s="116"/>
      <c r="N257" s="484">
        <f>SUM(J257,M257)</f>
        <v>0</v>
      </c>
      <c r="O257" s="18"/>
    </row>
    <row r="258" spans="1:15" ht="12.6" customHeight="1" x14ac:dyDescent="0.2">
      <c r="G258" s="336" t="s">
        <v>643</v>
      </c>
      <c r="J258" s="116"/>
      <c r="M258" s="116"/>
      <c r="N258" s="484">
        <f>SUM(J258,M258)</f>
        <v>0</v>
      </c>
      <c r="O258" s="18"/>
    </row>
    <row r="259" spans="1:15" ht="12.6" customHeight="1" x14ac:dyDescent="0.2">
      <c r="G259" s="336"/>
      <c r="J259" s="102"/>
      <c r="M259" s="352" t="s">
        <v>445</v>
      </c>
      <c r="O259" s="18"/>
    </row>
    <row r="260" spans="1:15" ht="12.6" customHeight="1" x14ac:dyDescent="0.2">
      <c r="G260" s="336"/>
      <c r="J260" s="102"/>
      <c r="M260" s="352"/>
      <c r="O260" s="18"/>
    </row>
    <row r="261" spans="1:15" ht="12.6" customHeight="1" x14ac:dyDescent="0.2">
      <c r="A261" s="85" t="s">
        <v>1321</v>
      </c>
      <c r="G261" s="336"/>
      <c r="J261" s="102"/>
      <c r="M261" s="352"/>
      <c r="O261" s="18"/>
    </row>
    <row r="262" spans="1:15" ht="12.6" customHeight="1" x14ac:dyDescent="0.2">
      <c r="A262" s="149" t="s">
        <v>701</v>
      </c>
      <c r="G262" s="336"/>
      <c r="J262" s="102"/>
      <c r="M262" s="352"/>
      <c r="O262" s="18"/>
    </row>
    <row r="263" spans="1:15" ht="12.6" customHeight="1" x14ac:dyDescent="0.2">
      <c r="A263" s="149" t="s">
        <v>1322</v>
      </c>
      <c r="G263" s="336"/>
      <c r="J263" s="102"/>
      <c r="M263" s="352"/>
      <c r="O263" s="18"/>
    </row>
    <row r="264" spans="1:15" ht="12.6" customHeight="1" x14ac:dyDescent="0.2">
      <c r="A264" s="149" t="s">
        <v>1738</v>
      </c>
      <c r="G264" s="336"/>
      <c r="J264" s="102"/>
      <c r="M264" s="352"/>
      <c r="O264" s="18"/>
    </row>
    <row r="265" spans="1:15" ht="12.6" customHeight="1" x14ac:dyDescent="0.2">
      <c r="A265" s="149" t="s">
        <v>1061</v>
      </c>
      <c r="G265" s="336"/>
      <c r="J265" s="102"/>
      <c r="M265" s="352"/>
      <c r="O265" s="18"/>
    </row>
    <row r="266" spans="1:15" ht="12.6" customHeight="1" x14ac:dyDescent="0.2">
      <c r="G266" s="336"/>
      <c r="J266" s="353"/>
      <c r="K266" s="91"/>
      <c r="L266" s="91"/>
      <c r="M266" s="353"/>
      <c r="O266" s="18"/>
    </row>
    <row r="267" spans="1:15" ht="31.15" customHeight="1" x14ac:dyDescent="0.2">
      <c r="A267" s="1330" t="s">
        <v>1529</v>
      </c>
      <c r="B267" s="1330"/>
      <c r="C267" s="1330"/>
      <c r="D267" s="1330"/>
      <c r="E267" s="1330"/>
      <c r="F267" s="1330"/>
      <c r="G267" s="1330"/>
      <c r="H267" s="1330"/>
      <c r="I267" s="1330"/>
      <c r="J267" s="1330"/>
      <c r="K267" s="1330"/>
      <c r="L267" s="1330"/>
      <c r="M267" s="1330"/>
      <c r="N267" s="1330"/>
      <c r="O267" s="18"/>
    </row>
    <row r="268" spans="1:15" ht="12.6" customHeight="1" x14ac:dyDescent="0.2">
      <c r="D268" s="1329" t="s">
        <v>1429</v>
      </c>
      <c r="E268" s="1329"/>
      <c r="F268" s="1329"/>
      <c r="G268" s="1329"/>
      <c r="J268" s="116"/>
      <c r="K268" s="91"/>
      <c r="L268" s="91"/>
      <c r="M268" s="353"/>
      <c r="O268" s="18"/>
    </row>
    <row r="269" spans="1:15" ht="12.6" customHeight="1" x14ac:dyDescent="0.2">
      <c r="A269" s="1329" t="s">
        <v>1430</v>
      </c>
      <c r="B269" s="1329"/>
      <c r="C269" s="1329"/>
      <c r="D269" s="1329"/>
      <c r="E269" s="1329"/>
      <c r="F269" s="1329"/>
      <c r="G269" s="1329"/>
      <c r="J269" s="116"/>
      <c r="K269" s="91"/>
      <c r="L269" s="91"/>
      <c r="M269" s="353"/>
      <c r="O269" s="18"/>
    </row>
    <row r="270" spans="1:15" ht="12.6" customHeight="1" x14ac:dyDescent="0.2">
      <c r="G270" s="336"/>
      <c r="J270" s="353"/>
      <c r="K270" s="91"/>
      <c r="L270" s="91"/>
      <c r="M270" s="353"/>
      <c r="O270" s="18"/>
    </row>
    <row r="271" spans="1:15" ht="21.75" customHeight="1" x14ac:dyDescent="0.2">
      <c r="A271" s="1330" t="s">
        <v>1583</v>
      </c>
      <c r="B271" s="1330"/>
      <c r="C271" s="1330"/>
      <c r="D271" s="1330"/>
      <c r="E271" s="1330"/>
      <c r="F271" s="1330"/>
      <c r="G271" s="1330"/>
      <c r="H271" s="1330"/>
      <c r="I271" s="1330"/>
      <c r="J271" s="1330"/>
      <c r="K271" s="1330"/>
      <c r="L271" s="1330"/>
      <c r="M271" s="1330"/>
      <c r="N271" s="1330"/>
      <c r="O271" s="18"/>
    </row>
    <row r="272" spans="1:15" ht="23.25" customHeight="1" x14ac:dyDescent="0.2">
      <c r="A272" s="1329" t="s">
        <v>1584</v>
      </c>
      <c r="B272" s="1329"/>
      <c r="C272" s="1329"/>
      <c r="D272" s="1329"/>
      <c r="E272" s="1329"/>
      <c r="F272" s="1329"/>
      <c r="G272" s="1329"/>
      <c r="J272" s="116"/>
      <c r="K272" s="91"/>
      <c r="L272" s="91"/>
      <c r="M272" s="353"/>
      <c r="O272" s="18"/>
    </row>
    <row r="273" spans="1:15" ht="12.6" customHeight="1" x14ac:dyDescent="0.2">
      <c r="A273" s="1329" t="s">
        <v>1430</v>
      </c>
      <c r="B273" s="1329"/>
      <c r="C273" s="1329"/>
      <c r="D273" s="1329"/>
      <c r="E273" s="1329"/>
      <c r="F273" s="1329"/>
      <c r="G273" s="1329"/>
      <c r="J273" s="116"/>
      <c r="K273" s="91"/>
      <c r="L273" s="91"/>
      <c r="M273" s="353"/>
      <c r="O273" s="18"/>
    </row>
    <row r="274" spans="1:15" ht="12.6" customHeight="1" x14ac:dyDescent="0.2">
      <c r="A274" s="338"/>
      <c r="B274" s="338"/>
      <c r="C274" s="338"/>
      <c r="D274" s="338"/>
      <c r="E274" s="338"/>
      <c r="F274" s="338"/>
      <c r="G274" s="338"/>
      <c r="J274" s="1087"/>
      <c r="K274" s="91"/>
      <c r="L274" s="91"/>
      <c r="M274" s="353"/>
      <c r="O274" s="18"/>
    </row>
    <row r="275" spans="1:15" ht="22.5" customHeight="1" x14ac:dyDescent="0.2">
      <c r="A275" s="1330" t="s">
        <v>1578</v>
      </c>
      <c r="B275" s="1330"/>
      <c r="C275" s="1330"/>
      <c r="D275" s="1330"/>
      <c r="E275" s="1330"/>
      <c r="F275" s="1330"/>
      <c r="G275" s="1330"/>
      <c r="H275" s="1330"/>
      <c r="I275" s="1330"/>
      <c r="J275" s="1330"/>
      <c r="K275" s="1330"/>
      <c r="L275" s="1330"/>
      <c r="M275" s="1330"/>
      <c r="N275" s="1330"/>
      <c r="O275" s="18"/>
    </row>
    <row r="276" spans="1:15" ht="12.6" customHeight="1" x14ac:dyDescent="0.2">
      <c r="D276" s="1329" t="s">
        <v>1579</v>
      </c>
      <c r="E276" s="1329"/>
      <c r="F276" s="1329"/>
      <c r="G276" s="1329"/>
      <c r="J276" s="116"/>
      <c r="K276" s="91"/>
      <c r="L276" s="91"/>
      <c r="M276" s="353"/>
      <c r="O276" s="18"/>
    </row>
    <row r="277" spans="1:15" ht="12.6" customHeight="1" x14ac:dyDescent="0.2">
      <c r="A277" s="1329" t="s">
        <v>1430</v>
      </c>
      <c r="B277" s="1329"/>
      <c r="C277" s="1329"/>
      <c r="D277" s="1329"/>
      <c r="E277" s="1329"/>
      <c r="F277" s="1329"/>
      <c r="G277" s="1329"/>
      <c r="J277" s="116"/>
      <c r="K277" s="91"/>
      <c r="L277" s="91"/>
      <c r="M277" s="353"/>
      <c r="O277" s="18"/>
    </row>
    <row r="278" spans="1:15" customFormat="1" ht="12.6" customHeight="1" x14ac:dyDescent="0.2">
      <c r="A278" s="149"/>
      <c r="B278" s="149"/>
      <c r="C278" s="149"/>
      <c r="D278" s="149"/>
      <c r="E278" s="149"/>
      <c r="F278" s="149"/>
      <c r="G278" s="149"/>
      <c r="H278" s="149"/>
      <c r="I278" s="149"/>
      <c r="J278" s="149"/>
      <c r="K278" s="149"/>
      <c r="L278" s="149"/>
      <c r="M278" s="149"/>
    </row>
    <row r="279" spans="1:15" customFormat="1" ht="12.75" x14ac:dyDescent="0.2">
      <c r="A279" s="149"/>
      <c r="B279" s="149"/>
      <c r="C279" s="149"/>
      <c r="D279" s="149"/>
      <c r="E279" s="149"/>
      <c r="F279" s="149"/>
      <c r="G279" s="149"/>
      <c r="H279" s="149"/>
      <c r="I279" s="149"/>
      <c r="J279" s="149"/>
      <c r="K279" s="149"/>
      <c r="L279" s="149"/>
      <c r="M279" s="149"/>
    </row>
    <row r="280" spans="1:15" customFormat="1" ht="12.6" customHeight="1" x14ac:dyDescent="0.2">
      <c r="A280" s="149"/>
      <c r="B280" s="149"/>
      <c r="C280" s="149"/>
      <c r="D280" s="149"/>
      <c r="E280" s="149"/>
      <c r="F280" s="149"/>
      <c r="G280" s="149"/>
      <c r="H280" s="149"/>
      <c r="I280" s="149"/>
      <c r="J280" s="149"/>
      <c r="K280" s="149"/>
      <c r="L280" s="149"/>
      <c r="M280" s="149"/>
    </row>
    <row r="281" spans="1:15" customFormat="1" ht="12.6" customHeight="1" x14ac:dyDescent="0.2">
      <c r="A281" s="149" t="s">
        <v>1060</v>
      </c>
      <c r="B281" s="149"/>
      <c r="C281" s="149"/>
      <c r="D281" s="149"/>
      <c r="E281" s="149"/>
      <c r="F281" s="149"/>
      <c r="G281" s="149"/>
      <c r="H281" s="149"/>
      <c r="I281" s="149"/>
      <c r="J281" s="149"/>
      <c r="K281" s="149"/>
      <c r="L281" s="149"/>
      <c r="M281" s="149"/>
    </row>
    <row r="282" spans="1:15" customFormat="1" ht="59.25" customHeight="1" x14ac:dyDescent="0.2">
      <c r="A282" s="1331" t="str">
        <f>IF(M250="NO","Answer Required","N/A")</f>
        <v>N/A</v>
      </c>
      <c r="B282" s="1331"/>
      <c r="C282" s="1331"/>
      <c r="D282" s="1331"/>
      <c r="E282" s="1331"/>
      <c r="F282" s="1331"/>
      <c r="G282" s="1331"/>
      <c r="H282" s="1331"/>
      <c r="I282" s="1331"/>
      <c r="J282" s="1331"/>
      <c r="K282" s="1331"/>
      <c r="L282" s="1331"/>
      <c r="M282" s="1331"/>
    </row>
    <row r="283" spans="1:15" customFormat="1" ht="12.6" customHeight="1" x14ac:dyDescent="0.2">
      <c r="A283" s="149"/>
      <c r="B283" s="149"/>
      <c r="C283" s="149"/>
      <c r="D283" s="149"/>
      <c r="E283" s="149"/>
      <c r="F283" s="149"/>
      <c r="G283" s="149"/>
      <c r="H283" s="149"/>
      <c r="I283" s="149"/>
      <c r="J283" s="149"/>
      <c r="K283" s="149"/>
      <c r="L283" s="149"/>
      <c r="M283" s="149"/>
    </row>
    <row r="284" spans="1:15" customFormat="1" ht="12.6" customHeight="1" x14ac:dyDescent="0.2">
      <c r="A284" s="149"/>
      <c r="B284" s="149"/>
      <c r="C284" s="149"/>
      <c r="D284" s="149"/>
      <c r="E284" s="149"/>
      <c r="F284" s="149"/>
      <c r="G284" s="149"/>
      <c r="H284" s="149"/>
      <c r="I284" s="149"/>
      <c r="J284" s="149"/>
      <c r="K284" s="149"/>
      <c r="L284" s="149"/>
      <c r="M284" s="149"/>
    </row>
    <row r="285" spans="1:15" customFormat="1" ht="12.6" customHeight="1" x14ac:dyDescent="0.2">
      <c r="A285" s="149"/>
      <c r="B285" s="149"/>
      <c r="C285" s="149"/>
      <c r="D285" s="149"/>
      <c r="E285" s="149"/>
      <c r="F285" s="149"/>
      <c r="G285" s="149"/>
      <c r="H285" s="149"/>
      <c r="I285" s="149"/>
      <c r="J285" s="149"/>
      <c r="K285" s="149"/>
      <c r="L285" s="149"/>
      <c r="M285" s="149"/>
    </row>
    <row r="286" spans="1:15" customFormat="1" ht="12.6" customHeight="1" x14ac:dyDescent="0.2">
      <c r="A286" s="149"/>
      <c r="B286" s="149"/>
      <c r="C286" s="149"/>
      <c r="D286" s="149"/>
      <c r="E286" s="149"/>
      <c r="F286" s="149"/>
      <c r="G286" s="149"/>
      <c r="H286" s="149"/>
      <c r="I286" s="149"/>
      <c r="J286" s="149"/>
      <c r="K286" s="149"/>
      <c r="L286" s="149"/>
      <c r="M286" s="149"/>
    </row>
    <row r="287" spans="1:15" customFormat="1" ht="12.6" customHeight="1" x14ac:dyDescent="0.2">
      <c r="A287" s="149"/>
      <c r="B287" s="149"/>
      <c r="C287" s="149"/>
      <c r="D287" s="149"/>
      <c r="E287" s="149"/>
      <c r="F287" s="149"/>
      <c r="G287" s="149"/>
      <c r="H287" s="149"/>
      <c r="I287" s="149"/>
      <c r="J287" s="149"/>
      <c r="K287" s="149"/>
      <c r="L287" s="149"/>
      <c r="M287" s="149"/>
    </row>
    <row r="288" spans="1:15" customFormat="1" ht="12.6" customHeight="1" x14ac:dyDescent="0.2">
      <c r="A288" s="21" t="s">
        <v>1062</v>
      </c>
      <c r="B288" s="149"/>
      <c r="C288" s="149"/>
      <c r="D288" s="149"/>
      <c r="E288" s="149"/>
      <c r="F288" s="149"/>
      <c r="G288" s="149"/>
      <c r="H288" s="149"/>
      <c r="I288" s="149"/>
      <c r="J288" s="149"/>
      <c r="K288" s="149"/>
      <c r="L288" s="149"/>
      <c r="M288" s="149"/>
    </row>
    <row r="289" spans="1:14" customFormat="1" ht="12.6" customHeight="1" x14ac:dyDescent="0.2">
      <c r="A289" s="149"/>
      <c r="B289" s="149"/>
      <c r="C289" s="149"/>
      <c r="D289" s="149"/>
      <c r="E289" s="149"/>
      <c r="F289" s="149"/>
      <c r="G289" s="149"/>
      <c r="H289" s="149"/>
      <c r="I289" s="149"/>
      <c r="J289" s="149"/>
      <c r="K289" s="149"/>
      <c r="L289" s="149"/>
      <c r="M289" s="149"/>
    </row>
    <row r="290" spans="1:14" ht="12" customHeight="1" x14ac:dyDescent="0.2">
      <c r="A290" s="85" t="s">
        <v>682</v>
      </c>
    </row>
    <row r="291" spans="1:14" ht="36.75" customHeight="1" x14ac:dyDescent="0.2">
      <c r="M291" s="337" t="s">
        <v>683</v>
      </c>
      <c r="N291" s="343" t="s">
        <v>684</v>
      </c>
    </row>
    <row r="292" spans="1:14" ht="12.6" customHeight="1" x14ac:dyDescent="0.2">
      <c r="J292" s="336" t="s">
        <v>143</v>
      </c>
      <c r="M292" s="111" t="str">
        <f>IF(OR(M243="no",M243="n/a"),"n/a","Answer Required")</f>
        <v>n/a</v>
      </c>
      <c r="N292" s="354" t="str">
        <f>IF(OR(M243="no",M243="n/a"),"n/a","Answer Required")</f>
        <v>n/a</v>
      </c>
    </row>
    <row r="293" spans="1:14" ht="12.6" customHeight="1" x14ac:dyDescent="0.2">
      <c r="A293" s="85" t="s">
        <v>1063</v>
      </c>
      <c r="L293" s="85" t="s">
        <v>503</v>
      </c>
      <c r="M293" s="575"/>
      <c r="N293" s="575"/>
    </row>
    <row r="294" spans="1:14" ht="12.6" customHeight="1" x14ac:dyDescent="0.2">
      <c r="A294" s="85" t="s">
        <v>1064</v>
      </c>
    </row>
    <row r="296" spans="1:14" ht="12.6" customHeight="1" x14ac:dyDescent="0.2">
      <c r="A296" s="100" t="s">
        <v>1065</v>
      </c>
    </row>
    <row r="297" spans="1:14" ht="6.75" customHeight="1" x14ac:dyDescent="0.2"/>
    <row r="298" spans="1:14" ht="57" customHeight="1" x14ac:dyDescent="0.2">
      <c r="A298" s="1299" t="s">
        <v>1739</v>
      </c>
      <c r="B298" s="1162"/>
      <c r="C298" s="1162"/>
      <c r="D298" s="1162"/>
      <c r="E298" s="1162"/>
      <c r="F298" s="1162"/>
      <c r="G298" s="1162"/>
      <c r="H298" s="1162"/>
      <c r="I298" s="1162"/>
      <c r="J298" s="1162"/>
      <c r="M298" s="111" t="s">
        <v>1038</v>
      </c>
    </row>
    <row r="299" spans="1:14" ht="6" customHeight="1" x14ac:dyDescent="0.2">
      <c r="A299" s="85" t="s">
        <v>108</v>
      </c>
      <c r="M299" s="102"/>
    </row>
    <row r="300" spans="1:14" ht="27" customHeight="1" x14ac:dyDescent="0.2">
      <c r="A300" s="1299" t="s">
        <v>1323</v>
      </c>
      <c r="B300" s="1162"/>
      <c r="C300" s="1162"/>
      <c r="D300" s="1162"/>
      <c r="E300" s="1162"/>
      <c r="F300" s="1162"/>
      <c r="G300" s="1162"/>
      <c r="H300" s="1162"/>
      <c r="I300" s="1162"/>
      <c r="J300" s="1162"/>
      <c r="M300" s="102"/>
    </row>
    <row r="301" spans="1:14" ht="12.6" customHeight="1" x14ac:dyDescent="0.2">
      <c r="J301" s="336"/>
    </row>
    <row r="302" spans="1:14" ht="12.6" customHeight="1" x14ac:dyDescent="0.2">
      <c r="M302" s="102"/>
    </row>
    <row r="303" spans="1:14" ht="13.5" customHeight="1" x14ac:dyDescent="0.2">
      <c r="A303" s="85" t="s">
        <v>564</v>
      </c>
    </row>
    <row r="304" spans="1:14" ht="26.25" customHeight="1" x14ac:dyDescent="0.2">
      <c r="J304" s="336" t="s">
        <v>704</v>
      </c>
      <c r="M304" s="337" t="s">
        <v>657</v>
      </c>
    </row>
    <row r="305" spans="1:16" ht="12.6" customHeight="1" x14ac:dyDescent="0.2">
      <c r="J305" s="338" t="s">
        <v>618</v>
      </c>
      <c r="K305" s="274"/>
      <c r="M305" s="116"/>
    </row>
    <row r="306" spans="1:16" ht="12.6" customHeight="1" x14ac:dyDescent="0.2">
      <c r="J306" s="338" t="s">
        <v>644</v>
      </c>
      <c r="K306" s="274"/>
      <c r="M306" s="116"/>
    </row>
    <row r="307" spans="1:16" ht="12.6" customHeight="1" x14ac:dyDescent="0.2">
      <c r="J307" s="338" t="s">
        <v>303</v>
      </c>
      <c r="M307" s="116"/>
    </row>
    <row r="308" spans="1:16" ht="12.6" customHeight="1" x14ac:dyDescent="0.2">
      <c r="J308" s="338"/>
      <c r="M308" s="102"/>
    </row>
    <row r="309" spans="1:16" ht="12.6" customHeight="1" x14ac:dyDescent="0.2">
      <c r="A309" s="85" t="s">
        <v>621</v>
      </c>
    </row>
    <row r="310" spans="1:16" ht="60" customHeight="1" x14ac:dyDescent="0.2">
      <c r="A310" s="1326"/>
      <c r="B310" s="1327"/>
      <c r="C310" s="1327"/>
      <c r="D310" s="1327"/>
      <c r="E310" s="1327"/>
      <c r="F310" s="1327"/>
      <c r="G310" s="1327"/>
      <c r="H310" s="1327"/>
      <c r="I310" s="1327"/>
      <c r="J310" s="1327"/>
      <c r="K310" s="1327"/>
      <c r="L310" s="1327"/>
      <c r="M310" s="1328"/>
    </row>
    <row r="312" spans="1:16" ht="24" customHeight="1" x14ac:dyDescent="0.2"/>
    <row r="313" spans="1:16" s="78" customFormat="1" ht="28.5" customHeight="1" x14ac:dyDescent="0.2">
      <c r="A313" s="1271" t="s">
        <v>1066</v>
      </c>
      <c r="B313" s="1243"/>
      <c r="C313" s="1243"/>
      <c r="D313" s="1243"/>
      <c r="E313" s="1243"/>
      <c r="F313" s="1243"/>
      <c r="G313" s="1162"/>
      <c r="H313" s="1162"/>
      <c r="I313" s="1162"/>
      <c r="J313" s="1162"/>
      <c r="K313" s="1162"/>
      <c r="L313" s="1162"/>
      <c r="M313" s="1162"/>
    </row>
    <row r="314" spans="1:16" s="78" customFormat="1" ht="12.6" customHeight="1" x14ac:dyDescent="0.2">
      <c r="C314" s="1314" t="s">
        <v>93</v>
      </c>
      <c r="D314" s="1314"/>
      <c r="E314" s="81"/>
      <c r="F314" s="82"/>
      <c r="G314" s="82"/>
      <c r="H314" s="81"/>
      <c r="I314" s="82"/>
      <c r="J314" s="82"/>
      <c r="K314" s="81"/>
      <c r="L314" s="1313"/>
      <c r="M314" s="1313"/>
    </row>
    <row r="315" spans="1:16" s="78" customFormat="1" ht="12.6" customHeight="1" x14ac:dyDescent="0.2">
      <c r="C315" s="1321" t="s">
        <v>1737</v>
      </c>
      <c r="D315" s="1313"/>
      <c r="E315" s="81"/>
      <c r="F315" s="82"/>
      <c r="G315" s="83" t="s">
        <v>94</v>
      </c>
      <c r="H315" s="81"/>
      <c r="I315" s="82"/>
      <c r="J315" s="82" t="s">
        <v>95</v>
      </c>
      <c r="K315" s="81"/>
      <c r="L315" s="1313" t="s">
        <v>93</v>
      </c>
      <c r="M315" s="1313"/>
      <c r="P315" s="516" t="s">
        <v>694</v>
      </c>
    </row>
    <row r="316" spans="1:16" s="78" customFormat="1" ht="12" customHeight="1" x14ac:dyDescent="0.2">
      <c r="C316" s="1312" t="s">
        <v>179</v>
      </c>
      <c r="D316" s="1312"/>
      <c r="E316" s="81"/>
      <c r="F316" s="84"/>
      <c r="G316" s="84" t="s">
        <v>179</v>
      </c>
      <c r="H316" s="81"/>
      <c r="I316" s="84"/>
      <c r="J316" s="84" t="s">
        <v>386</v>
      </c>
      <c r="K316" s="81"/>
      <c r="L316" s="1324" t="s">
        <v>1740</v>
      </c>
      <c r="M316" s="1325"/>
      <c r="O316" s="426" t="s">
        <v>818</v>
      </c>
      <c r="P316" s="516" t="s">
        <v>1437</v>
      </c>
    </row>
    <row r="317" spans="1:16" ht="12.6" customHeight="1" x14ac:dyDescent="0.2">
      <c r="A317" s="85" t="s">
        <v>243</v>
      </c>
    </row>
    <row r="318" spans="1:16" ht="12.6" customHeight="1" x14ac:dyDescent="0.2">
      <c r="A318" s="85" t="s">
        <v>191</v>
      </c>
      <c r="C318" s="87" t="s">
        <v>503</v>
      </c>
      <c r="D318" s="112"/>
      <c r="E318" s="88"/>
      <c r="F318" s="88" t="s">
        <v>503</v>
      </c>
      <c r="G318" s="112"/>
      <c r="H318" s="88"/>
      <c r="I318" s="88" t="s">
        <v>503</v>
      </c>
      <c r="J318" s="112"/>
      <c r="K318" s="88"/>
      <c r="L318" s="88" t="s">
        <v>503</v>
      </c>
      <c r="M318" s="115">
        <f>SUM(D318,G318,J318)</f>
        <v>0</v>
      </c>
      <c r="O318" s="423"/>
      <c r="P318" s="423"/>
    </row>
    <row r="319" spans="1:16" ht="12.6" customHeight="1" x14ac:dyDescent="0.2">
      <c r="A319" s="85" t="s">
        <v>193</v>
      </c>
      <c r="C319" s="87"/>
      <c r="D319" s="112"/>
      <c r="E319" s="89"/>
      <c r="F319" s="89"/>
      <c r="G319" s="112"/>
      <c r="H319" s="89"/>
      <c r="I319" s="89"/>
      <c r="J319" s="112"/>
      <c r="K319" s="88"/>
      <c r="L319" s="88"/>
      <c r="M319" s="115">
        <f>SUM(D319,G319,J319)</f>
        <v>0</v>
      </c>
      <c r="O319" s="423"/>
      <c r="P319" s="423"/>
    </row>
    <row r="320" spans="1:16" ht="12.6" customHeight="1" x14ac:dyDescent="0.2">
      <c r="A320" s="85" t="s">
        <v>914</v>
      </c>
      <c r="C320" s="87"/>
      <c r="D320" s="247"/>
      <c r="E320" s="837"/>
      <c r="F320" s="837"/>
      <c r="G320" s="247"/>
      <c r="H320" s="837"/>
      <c r="I320" s="837"/>
      <c r="J320" s="247"/>
      <c r="K320" s="88"/>
      <c r="L320" s="88"/>
      <c r="M320" s="115"/>
      <c r="O320" s="423"/>
      <c r="P320" s="423"/>
    </row>
    <row r="321" spans="1:16" ht="12.6" customHeight="1" x14ac:dyDescent="0.2">
      <c r="A321" s="85" t="s">
        <v>655</v>
      </c>
      <c r="C321" s="87"/>
      <c r="D321" s="112"/>
      <c r="E321" s="88"/>
      <c r="F321" s="88"/>
      <c r="G321" s="112"/>
      <c r="H321" s="88"/>
      <c r="I321" s="88"/>
      <c r="J321" s="112"/>
      <c r="K321" s="88"/>
      <c r="L321" s="88"/>
      <c r="M321" s="115">
        <f>SUM(D321,G321,J321)</f>
        <v>0</v>
      </c>
      <c r="O321" s="423"/>
      <c r="P321" s="423"/>
    </row>
    <row r="322" spans="1:16" ht="12.6" customHeight="1" x14ac:dyDescent="0.2">
      <c r="A322" s="85" t="s">
        <v>194</v>
      </c>
      <c r="C322" s="87"/>
      <c r="D322" s="112"/>
      <c r="E322" s="88"/>
      <c r="F322" s="90"/>
      <c r="G322" s="112"/>
      <c r="H322" s="88"/>
      <c r="I322" s="90"/>
      <c r="J322" s="112"/>
      <c r="K322" s="88"/>
      <c r="L322" s="90"/>
      <c r="M322" s="115">
        <f>SUM(D322,G322,J322)</f>
        <v>0</v>
      </c>
      <c r="O322" s="423"/>
      <c r="P322" s="423"/>
    </row>
    <row r="323" spans="1:16" ht="12.6" customHeight="1" x14ac:dyDescent="0.2">
      <c r="A323" s="85" t="s">
        <v>310</v>
      </c>
      <c r="C323" s="87"/>
      <c r="D323" s="247"/>
      <c r="E323" s="837"/>
      <c r="F323" s="837"/>
      <c r="G323" s="247"/>
      <c r="H323" s="837"/>
      <c r="I323" s="837"/>
      <c r="J323" s="247"/>
      <c r="K323" s="88"/>
      <c r="L323" s="90"/>
      <c r="M323" s="115"/>
      <c r="O323" s="423"/>
      <c r="P323" s="423"/>
    </row>
    <row r="324" spans="1:16" ht="35.25" customHeight="1" x14ac:dyDescent="0.2">
      <c r="A324" s="600">
        <f>A24</f>
        <v>0</v>
      </c>
      <c r="C324" s="87"/>
      <c r="D324" s="112"/>
      <c r="E324" s="88"/>
      <c r="F324" s="90"/>
      <c r="G324" s="112"/>
      <c r="H324" s="88"/>
      <c r="I324" s="90"/>
      <c r="J324" s="112"/>
      <c r="K324" s="88"/>
      <c r="L324" s="90"/>
      <c r="M324" s="115">
        <f>SUM(D324,G324,J324)</f>
        <v>0</v>
      </c>
      <c r="O324" s="423"/>
      <c r="P324" s="423"/>
    </row>
    <row r="325" spans="1:16" ht="12.6" customHeight="1" x14ac:dyDescent="0.2">
      <c r="A325" s="85" t="s">
        <v>244</v>
      </c>
      <c r="C325" s="87"/>
      <c r="D325" s="114">
        <f>SUM(D318:D324)</f>
        <v>0</v>
      </c>
      <c r="E325" s="88"/>
      <c r="F325" s="90"/>
      <c r="G325" s="114">
        <f>SUM(G318:G324)</f>
        <v>0</v>
      </c>
      <c r="H325" s="88"/>
      <c r="I325" s="90"/>
      <c r="J325" s="114">
        <f>SUM(J318:J324)</f>
        <v>0</v>
      </c>
      <c r="K325" s="88"/>
      <c r="L325" s="90"/>
      <c r="M325" s="114">
        <f>IF(SUM(M318:M324)='Elimination Entries to FST'!H102,SUM(M318:M324),"ERROR")</f>
        <v>0</v>
      </c>
      <c r="N325" s="91"/>
      <c r="O325" s="423">
        <f>SUM(D325,G325,J325)</f>
        <v>0</v>
      </c>
      <c r="P325" s="423">
        <f>'Elimination Entries to FST'!H102-'TAB 3, Capital Assets'!O325</f>
        <v>0</v>
      </c>
    </row>
    <row r="326" spans="1:16" ht="11.25" x14ac:dyDescent="0.2">
      <c r="C326" s="87"/>
      <c r="D326" s="92"/>
      <c r="E326" s="87"/>
      <c r="F326" s="87"/>
      <c r="G326" s="92"/>
      <c r="H326" s="87"/>
      <c r="I326" s="87"/>
      <c r="J326" s="92"/>
      <c r="K326" s="87"/>
      <c r="L326" s="87"/>
      <c r="M326" s="93"/>
    </row>
    <row r="327" spans="1:16" ht="11.25" x14ac:dyDescent="0.2">
      <c r="A327" s="85" t="s">
        <v>1416</v>
      </c>
      <c r="C327" s="87"/>
      <c r="D327" s="92"/>
      <c r="E327" s="87"/>
      <c r="F327" s="87"/>
      <c r="G327" s="92"/>
      <c r="H327" s="87"/>
      <c r="I327" s="87"/>
      <c r="J327" s="92"/>
      <c r="K327" s="87"/>
      <c r="L327" s="87"/>
      <c r="M327" s="92"/>
      <c r="N327" s="343"/>
      <c r="O327" s="425"/>
      <c r="P327" s="517"/>
    </row>
    <row r="328" spans="1:16" ht="12.6" customHeight="1" x14ac:dyDescent="0.2">
      <c r="A328" s="85" t="s">
        <v>195</v>
      </c>
      <c r="C328" s="87"/>
      <c r="D328" s="112"/>
      <c r="E328" s="88"/>
      <c r="F328" s="88"/>
      <c r="G328" s="112"/>
      <c r="H328" s="88"/>
      <c r="I328" s="88"/>
      <c r="J328" s="112"/>
      <c r="K328" s="88"/>
      <c r="L328" s="88"/>
      <c r="M328" s="115">
        <f>SUM(D328,G328,J328)</f>
        <v>0</v>
      </c>
      <c r="N328" s="212"/>
      <c r="O328" s="423"/>
      <c r="P328" s="423"/>
    </row>
    <row r="329" spans="1:16" ht="12.6" customHeight="1" x14ac:dyDescent="0.2">
      <c r="A329" s="85" t="s">
        <v>718</v>
      </c>
      <c r="C329" s="87"/>
      <c r="D329" s="112"/>
      <c r="E329" s="88"/>
      <c r="F329" s="88"/>
      <c r="G329" s="112"/>
      <c r="H329" s="88"/>
      <c r="I329" s="88"/>
      <c r="J329" s="112"/>
      <c r="K329" s="88"/>
      <c r="L329" s="88"/>
      <c r="M329" s="115">
        <f>SUM(D329,G329,J329)</f>
        <v>0</v>
      </c>
      <c r="N329" s="212"/>
      <c r="O329" s="423"/>
      <c r="P329" s="423"/>
    </row>
    <row r="330" spans="1:16" ht="12.6" customHeight="1" x14ac:dyDescent="0.2">
      <c r="A330" s="85" t="s">
        <v>237</v>
      </c>
      <c r="C330" s="87"/>
      <c r="D330" s="112"/>
      <c r="E330" s="88"/>
      <c r="F330" s="88"/>
      <c r="G330" s="112"/>
      <c r="H330" s="88"/>
      <c r="I330" s="88"/>
      <c r="J330" s="112"/>
      <c r="K330" s="88"/>
      <c r="L330" s="88"/>
      <c r="M330" s="115">
        <f>SUM(D330,G330,J330)</f>
        <v>0</v>
      </c>
      <c r="N330" s="212"/>
      <c r="O330" s="423"/>
      <c r="P330" s="423"/>
    </row>
    <row r="331" spans="1:16" ht="12.6" customHeight="1" x14ac:dyDescent="0.2">
      <c r="A331" s="85" t="s">
        <v>656</v>
      </c>
      <c r="C331" s="87"/>
      <c r="D331" s="112"/>
      <c r="E331" s="88"/>
      <c r="F331" s="88"/>
      <c r="G331" s="112"/>
      <c r="H331" s="88"/>
      <c r="I331" s="88"/>
      <c r="J331" s="112"/>
      <c r="K331" s="88"/>
      <c r="L331" s="88"/>
      <c r="M331" s="115">
        <f>SUM(D331,G331,J331)</f>
        <v>0</v>
      </c>
      <c r="N331" s="212"/>
      <c r="O331" s="423"/>
      <c r="P331" s="423"/>
    </row>
    <row r="332" spans="1:16" ht="12.6" customHeight="1" x14ac:dyDescent="0.2">
      <c r="A332" s="85" t="s">
        <v>915</v>
      </c>
      <c r="C332" s="87"/>
      <c r="D332" s="113"/>
      <c r="E332" s="89"/>
      <c r="F332" s="89"/>
      <c r="G332" s="113"/>
      <c r="H332" s="89"/>
      <c r="I332" s="89"/>
      <c r="J332" s="113"/>
      <c r="K332" s="88"/>
      <c r="L332" s="88"/>
      <c r="M332" s="115"/>
      <c r="N332" s="212"/>
      <c r="O332" s="423"/>
      <c r="P332" s="423"/>
    </row>
    <row r="333" spans="1:16" ht="12.6" customHeight="1" x14ac:dyDescent="0.2">
      <c r="A333" s="85" t="s">
        <v>655</v>
      </c>
      <c r="C333" s="87"/>
      <c r="D333" s="112"/>
      <c r="E333" s="88"/>
      <c r="F333" s="88"/>
      <c r="G333" s="112"/>
      <c r="H333" s="88"/>
      <c r="I333" s="88"/>
      <c r="J333" s="112"/>
      <c r="K333" s="88"/>
      <c r="L333" s="88"/>
      <c r="M333" s="115">
        <f>SUM(D333,G333,J333)</f>
        <v>0</v>
      </c>
      <c r="N333" s="212"/>
      <c r="O333" s="423"/>
      <c r="P333" s="423"/>
    </row>
    <row r="334" spans="1:16" ht="12.6" customHeight="1" x14ac:dyDescent="0.2">
      <c r="A334" s="85" t="s">
        <v>719</v>
      </c>
      <c r="C334" s="87"/>
      <c r="D334" s="112"/>
      <c r="E334" s="88"/>
      <c r="F334" s="88"/>
      <c r="G334" s="112"/>
      <c r="H334" s="88"/>
      <c r="I334" s="88"/>
      <c r="J334" s="112"/>
      <c r="K334" s="88"/>
      <c r="L334" s="88"/>
      <c r="M334" s="115">
        <f>SUM(D334,G334,J334)</f>
        <v>0</v>
      </c>
      <c r="N334" s="212"/>
      <c r="O334" s="423"/>
      <c r="P334" s="423"/>
    </row>
    <row r="335" spans="1:16" ht="12.6" customHeight="1" x14ac:dyDescent="0.2">
      <c r="A335" s="149" t="s">
        <v>1320</v>
      </c>
      <c r="C335" s="87"/>
      <c r="D335" s="246"/>
      <c r="E335" s="89"/>
      <c r="F335" s="89"/>
      <c r="G335" s="246"/>
      <c r="H335" s="89"/>
      <c r="I335" s="89"/>
      <c r="J335" s="246"/>
      <c r="K335" s="88"/>
      <c r="L335" s="88"/>
      <c r="M335" s="115"/>
      <c r="N335" s="212"/>
      <c r="O335" s="423"/>
      <c r="P335" s="423"/>
    </row>
    <row r="336" spans="1:16" ht="12.6" customHeight="1" x14ac:dyDescent="0.2">
      <c r="A336" s="149" t="s">
        <v>205</v>
      </c>
      <c r="C336" s="87"/>
      <c r="D336" s="112"/>
      <c r="E336" s="88"/>
      <c r="F336" s="88"/>
      <c r="G336" s="112"/>
      <c r="H336" s="88"/>
      <c r="I336" s="88"/>
      <c r="J336" s="112"/>
      <c r="K336" s="88"/>
      <c r="L336" s="88"/>
      <c r="M336" s="115">
        <f>SUM(D336,G336,J336)</f>
        <v>0</v>
      </c>
      <c r="N336" s="212"/>
      <c r="O336" s="423"/>
      <c r="P336" s="423"/>
    </row>
    <row r="337" spans="1:16" ht="12.6" customHeight="1" x14ac:dyDescent="0.2">
      <c r="A337" s="149" t="s">
        <v>249</v>
      </c>
      <c r="C337" s="87"/>
      <c r="D337" s="112"/>
      <c r="E337" s="88"/>
      <c r="F337" s="88"/>
      <c r="G337" s="112"/>
      <c r="H337" s="88"/>
      <c r="I337" s="88"/>
      <c r="J337" s="112"/>
      <c r="K337" s="88"/>
      <c r="L337" s="88"/>
      <c r="M337" s="115">
        <f>SUM(D337,G337,J337)</f>
        <v>0</v>
      </c>
      <c r="N337" s="212"/>
      <c r="O337" s="423"/>
      <c r="P337" s="423"/>
    </row>
    <row r="338" spans="1:16" ht="12.6" customHeight="1" x14ac:dyDescent="0.2">
      <c r="A338" s="149" t="s">
        <v>250</v>
      </c>
      <c r="C338" s="87"/>
      <c r="D338" s="112"/>
      <c r="E338" s="88"/>
      <c r="F338" s="88"/>
      <c r="G338" s="112"/>
      <c r="H338" s="88"/>
      <c r="I338" s="88"/>
      <c r="J338" s="112"/>
      <c r="K338" s="88"/>
      <c r="L338" s="88"/>
      <c r="M338" s="115">
        <f>SUM(D338,G338,J338)</f>
        <v>0</v>
      </c>
      <c r="N338" s="212"/>
      <c r="O338" s="423"/>
      <c r="P338" s="423"/>
    </row>
    <row r="339" spans="1:16" ht="12.6" customHeight="1" x14ac:dyDescent="0.2">
      <c r="A339" s="149" t="s">
        <v>251</v>
      </c>
      <c r="C339" s="87"/>
      <c r="D339" s="246"/>
      <c r="E339" s="89"/>
      <c r="F339" s="89"/>
      <c r="G339" s="246"/>
      <c r="H339" s="89"/>
      <c r="I339" s="89"/>
      <c r="J339" s="246"/>
      <c r="K339" s="88"/>
      <c r="L339" s="88"/>
      <c r="M339" s="115"/>
      <c r="N339" s="212"/>
      <c r="O339" s="423"/>
      <c r="P339" s="423"/>
    </row>
    <row r="340" spans="1:16" ht="36.75" customHeight="1" x14ac:dyDescent="0.2">
      <c r="A340" s="600">
        <f>A40</f>
        <v>0</v>
      </c>
      <c r="C340" s="87"/>
      <c r="D340" s="112"/>
      <c r="E340" s="88"/>
      <c r="F340" s="88"/>
      <c r="G340" s="112"/>
      <c r="H340" s="88"/>
      <c r="I340" s="88"/>
      <c r="J340" s="112"/>
      <c r="K340" s="88"/>
      <c r="L340" s="88"/>
      <c r="M340" s="115">
        <f>SUM(D340,G340,J340)</f>
        <v>0</v>
      </c>
      <c r="N340" s="212"/>
      <c r="O340" s="423"/>
      <c r="P340" s="423"/>
    </row>
    <row r="341" spans="1:16" ht="11.25" x14ac:dyDescent="0.2">
      <c r="A341" s="847"/>
      <c r="C341" s="87"/>
      <c r="D341" s="1012"/>
      <c r="E341" s="89"/>
      <c r="F341" s="89"/>
      <c r="G341" s="1012"/>
      <c r="H341" s="89"/>
      <c r="I341" s="89"/>
      <c r="J341" s="1012"/>
      <c r="K341" s="88"/>
      <c r="L341" s="88"/>
      <c r="M341" s="115"/>
      <c r="N341" s="212"/>
      <c r="O341" s="423"/>
      <c r="P341" s="423"/>
    </row>
    <row r="342" spans="1:16" ht="11.25" x14ac:dyDescent="0.2">
      <c r="A342" s="85" t="s">
        <v>1525</v>
      </c>
      <c r="C342" s="87"/>
      <c r="D342" s="1011"/>
      <c r="E342" s="89"/>
      <c r="F342" s="89"/>
      <c r="G342" s="1011"/>
      <c r="H342" s="89"/>
      <c r="I342" s="89"/>
      <c r="J342" s="1011"/>
      <c r="K342" s="88"/>
      <c r="L342" s="88"/>
      <c r="M342" s="115"/>
      <c r="N342" s="212"/>
      <c r="O342" s="423"/>
      <c r="P342" s="423"/>
    </row>
    <row r="343" spans="1:16" ht="11.25" x14ac:dyDescent="0.2">
      <c r="A343" s="1007" t="s">
        <v>191</v>
      </c>
      <c r="C343" s="87"/>
      <c r="D343" s="112"/>
      <c r="E343" s="88"/>
      <c r="F343" s="88"/>
      <c r="G343" s="112"/>
      <c r="H343" s="88"/>
      <c r="I343" s="88"/>
      <c r="J343" s="112"/>
      <c r="K343" s="88"/>
      <c r="L343" s="88"/>
      <c r="M343" s="115">
        <f>SUM(D343,G343,J343)</f>
        <v>0</v>
      </c>
      <c r="N343" s="212"/>
      <c r="O343" s="423"/>
      <c r="P343" s="423"/>
    </row>
    <row r="344" spans="1:16" ht="11.25" x14ac:dyDescent="0.2">
      <c r="A344" s="1007" t="s">
        <v>195</v>
      </c>
      <c r="C344" s="87"/>
      <c r="D344" s="112"/>
      <c r="E344" s="88"/>
      <c r="F344" s="88"/>
      <c r="G344" s="112"/>
      <c r="H344" s="88"/>
      <c r="I344" s="88"/>
      <c r="J344" s="112"/>
      <c r="K344" s="88"/>
      <c r="L344" s="88"/>
      <c r="M344" s="115">
        <f t="shared" ref="M344:M346" si="6">SUM(D344,G344,J344)</f>
        <v>0</v>
      </c>
      <c r="N344" s="212"/>
      <c r="O344" s="423"/>
      <c r="P344" s="423"/>
    </row>
    <row r="345" spans="1:16" ht="11.25" x14ac:dyDescent="0.2">
      <c r="A345" s="1007" t="s">
        <v>718</v>
      </c>
      <c r="C345" s="87"/>
      <c r="D345" s="112"/>
      <c r="E345" s="88"/>
      <c r="F345" s="88"/>
      <c r="G345" s="112"/>
      <c r="H345" s="88"/>
      <c r="I345" s="88"/>
      <c r="J345" s="112"/>
      <c r="K345" s="88"/>
      <c r="L345" s="88"/>
      <c r="M345" s="115">
        <f t="shared" si="6"/>
        <v>0</v>
      </c>
      <c r="N345" s="212"/>
      <c r="O345" s="423"/>
      <c r="P345" s="423"/>
    </row>
    <row r="346" spans="1:16" ht="11.25" x14ac:dyDescent="0.2">
      <c r="A346" s="1007" t="s">
        <v>1439</v>
      </c>
      <c r="C346" s="87"/>
      <c r="D346" s="112"/>
      <c r="E346" s="88"/>
      <c r="F346" s="88"/>
      <c r="G346" s="112"/>
      <c r="H346" s="88"/>
      <c r="I346" s="88"/>
      <c r="J346" s="112"/>
      <c r="K346" s="88"/>
      <c r="L346" s="88"/>
      <c r="M346" s="115">
        <f t="shared" si="6"/>
        <v>0</v>
      </c>
      <c r="N346" s="212"/>
      <c r="O346" s="423"/>
      <c r="P346" s="423"/>
    </row>
    <row r="347" spans="1:16" ht="11.25" x14ac:dyDescent="0.2">
      <c r="A347" s="1007" t="s">
        <v>1440</v>
      </c>
      <c r="C347" s="87"/>
      <c r="D347" s="1009"/>
      <c r="E347" s="89"/>
      <c r="F347" s="89"/>
      <c r="G347" s="1009"/>
      <c r="H347" s="89"/>
      <c r="I347" s="89"/>
      <c r="J347" s="1009"/>
      <c r="K347" s="88"/>
      <c r="L347" s="88"/>
      <c r="M347" s="115"/>
      <c r="N347" s="212"/>
      <c r="O347" s="423"/>
      <c r="P347" s="423"/>
    </row>
    <row r="348" spans="1:16" ht="36.75" customHeight="1" x14ac:dyDescent="0.2">
      <c r="A348" s="600">
        <f>A65</f>
        <v>0</v>
      </c>
      <c r="C348" s="87"/>
      <c r="D348" s="112"/>
      <c r="E348" s="88"/>
      <c r="F348" s="88"/>
      <c r="G348" s="112"/>
      <c r="H348" s="88"/>
      <c r="I348" s="88"/>
      <c r="J348" s="112"/>
      <c r="K348" s="88"/>
      <c r="L348" s="88"/>
      <c r="M348" s="248">
        <f>SUM(D348,G348,J348)</f>
        <v>0</v>
      </c>
      <c r="N348" s="212"/>
      <c r="O348" s="423"/>
      <c r="P348" s="423"/>
    </row>
    <row r="349" spans="1:16" ht="22.5" x14ac:dyDescent="0.2">
      <c r="A349" s="847" t="s">
        <v>1585</v>
      </c>
      <c r="C349" s="87"/>
      <c r="D349" s="112"/>
      <c r="E349" s="88"/>
      <c r="F349" s="88"/>
      <c r="G349" s="112"/>
      <c r="H349" s="88"/>
      <c r="I349" s="88"/>
      <c r="J349" s="1000"/>
      <c r="K349" s="88"/>
      <c r="L349" s="88"/>
      <c r="M349" s="248">
        <f>SUM(D349,G349,J349)</f>
        <v>0</v>
      </c>
      <c r="N349" s="212"/>
      <c r="O349" s="423"/>
      <c r="P349" s="423"/>
    </row>
    <row r="350" spans="1:16" ht="22.5" x14ac:dyDescent="0.2">
      <c r="A350" s="847" t="s">
        <v>1576</v>
      </c>
      <c r="C350" s="87"/>
      <c r="D350" s="112"/>
      <c r="E350" s="88"/>
      <c r="F350" s="88"/>
      <c r="G350" s="112"/>
      <c r="H350" s="88"/>
      <c r="I350" s="88"/>
      <c r="J350" s="1000"/>
      <c r="K350" s="88"/>
      <c r="L350" s="88"/>
      <c r="M350" s="248">
        <f>SUM(D350,G350,J350)</f>
        <v>0</v>
      </c>
      <c r="N350" s="212"/>
      <c r="O350" s="423"/>
      <c r="P350" s="423"/>
    </row>
    <row r="351" spans="1:16" ht="12.6" customHeight="1" x14ac:dyDescent="0.2">
      <c r="A351" s="338" t="s">
        <v>1522</v>
      </c>
      <c r="C351" s="87"/>
      <c r="D351" s="114">
        <f>SUM(D328:D340,D343:D346,D348:D350)</f>
        <v>0</v>
      </c>
      <c r="E351" s="88"/>
      <c r="F351" s="90"/>
      <c r="G351" s="114">
        <f>SUM(G328:G340,G343:G346,G348:G350)</f>
        <v>0</v>
      </c>
      <c r="H351" s="88"/>
      <c r="I351" s="90"/>
      <c r="J351" s="114">
        <f>SUM(J328:J340,J343:J346,J348:J350)</f>
        <v>0</v>
      </c>
      <c r="K351" s="88"/>
      <c r="L351" s="90"/>
      <c r="M351" s="114">
        <f>SUM(M328:M340,M343:M346,M348:M350)</f>
        <v>0</v>
      </c>
      <c r="O351" s="423"/>
      <c r="P351" s="423"/>
    </row>
    <row r="352" spans="1:16" ht="12.6" customHeight="1" x14ac:dyDescent="0.2">
      <c r="A352" s="94"/>
      <c r="O352" s="398"/>
    </row>
    <row r="353" spans="1:13" ht="12.6" customHeight="1" x14ac:dyDescent="0.2">
      <c r="A353" s="95" t="s">
        <v>246</v>
      </c>
    </row>
    <row r="354" spans="1:13" ht="12.6" customHeight="1" x14ac:dyDescent="0.2">
      <c r="A354" s="85" t="s">
        <v>195</v>
      </c>
      <c r="D354" s="116"/>
      <c r="G354" s="116"/>
      <c r="J354" s="116"/>
      <c r="M354" s="115">
        <f>SUM(D354,G354,J354)</f>
        <v>0</v>
      </c>
    </row>
    <row r="355" spans="1:13" ht="12.6" customHeight="1" x14ac:dyDescent="0.2">
      <c r="A355" s="85" t="s">
        <v>718</v>
      </c>
      <c r="D355" s="116"/>
      <c r="G355" s="116"/>
      <c r="J355" s="116"/>
      <c r="M355" s="115">
        <f>SUM(D355,G355,J355)</f>
        <v>0</v>
      </c>
    </row>
    <row r="356" spans="1:13" ht="12.6" customHeight="1" x14ac:dyDescent="0.2">
      <c r="A356" s="85" t="s">
        <v>237</v>
      </c>
      <c r="D356" s="116"/>
      <c r="G356" s="116"/>
      <c r="J356" s="116"/>
      <c r="M356" s="115">
        <f>SUM(D356,G356,J356)</f>
        <v>0</v>
      </c>
    </row>
    <row r="357" spans="1:13" ht="12.6" customHeight="1" x14ac:dyDescent="0.2">
      <c r="A357" s="85" t="s">
        <v>656</v>
      </c>
      <c r="D357" s="116"/>
      <c r="G357" s="116"/>
      <c r="J357" s="116"/>
      <c r="M357" s="115">
        <f>SUM(D357,G357,J357)</f>
        <v>0</v>
      </c>
    </row>
    <row r="358" spans="1:13" ht="12.6" customHeight="1" x14ac:dyDescent="0.2">
      <c r="A358" s="85" t="s">
        <v>915</v>
      </c>
      <c r="D358" s="117"/>
      <c r="G358" s="117"/>
      <c r="J358" s="117"/>
      <c r="M358" s="113"/>
    </row>
    <row r="359" spans="1:13" ht="12.6" customHeight="1" x14ac:dyDescent="0.2">
      <c r="A359" s="85" t="s">
        <v>655</v>
      </c>
      <c r="D359" s="116"/>
      <c r="G359" s="116"/>
      <c r="J359" s="116"/>
      <c r="M359" s="115">
        <f>SUM(D359,G359,J359)</f>
        <v>0</v>
      </c>
    </row>
    <row r="360" spans="1:13" ht="12.6" customHeight="1" x14ac:dyDescent="0.2">
      <c r="A360" s="85" t="s">
        <v>719</v>
      </c>
      <c r="C360" s="87"/>
      <c r="D360" s="112"/>
      <c r="E360" s="88"/>
      <c r="F360" s="90"/>
      <c r="G360" s="112"/>
      <c r="H360" s="88"/>
      <c r="I360" s="90"/>
      <c r="J360" s="112"/>
      <c r="K360" s="88"/>
      <c r="L360" s="90"/>
      <c r="M360" s="248">
        <f>SUM(D360,G360,J360)</f>
        <v>0</v>
      </c>
    </row>
    <row r="361" spans="1:13" ht="12.6" customHeight="1" x14ac:dyDescent="0.2">
      <c r="A361" s="149" t="s">
        <v>1320</v>
      </c>
      <c r="C361" s="87"/>
      <c r="D361" s="246"/>
      <c r="E361" s="89"/>
      <c r="F361" s="837"/>
      <c r="G361" s="246"/>
      <c r="H361" s="89"/>
      <c r="I361" s="837"/>
      <c r="J361" s="246"/>
      <c r="K361" s="89"/>
      <c r="L361" s="837"/>
      <c r="M361" s="247"/>
    </row>
    <row r="362" spans="1:13" ht="12.6" customHeight="1" x14ac:dyDescent="0.2">
      <c r="A362" s="149" t="s">
        <v>205</v>
      </c>
      <c r="C362" s="87"/>
      <c r="D362" s="112"/>
      <c r="E362" s="88"/>
      <c r="F362" s="90"/>
      <c r="G362" s="112"/>
      <c r="H362" s="88"/>
      <c r="I362" s="90"/>
      <c r="J362" s="112"/>
      <c r="K362" s="88"/>
      <c r="L362" s="90"/>
      <c r="M362" s="248">
        <f>SUM(D362,G362,J362)</f>
        <v>0</v>
      </c>
    </row>
    <row r="363" spans="1:13" ht="12.6" customHeight="1" x14ac:dyDescent="0.2">
      <c r="A363" s="149" t="s">
        <v>249</v>
      </c>
      <c r="C363" s="87"/>
      <c r="D363" s="112"/>
      <c r="E363" s="88"/>
      <c r="F363" s="90"/>
      <c r="G363" s="112"/>
      <c r="H363" s="88"/>
      <c r="I363" s="90"/>
      <c r="J363" s="112"/>
      <c r="K363" s="88"/>
      <c r="L363" s="90"/>
      <c r="M363" s="248">
        <f>SUM(D363,G363,J363)</f>
        <v>0</v>
      </c>
    </row>
    <row r="364" spans="1:13" ht="12.6" customHeight="1" x14ac:dyDescent="0.2">
      <c r="A364" s="149" t="s">
        <v>250</v>
      </c>
      <c r="C364" s="87"/>
      <c r="D364" s="112"/>
      <c r="E364" s="88"/>
      <c r="F364" s="90"/>
      <c r="G364" s="112"/>
      <c r="H364" s="88"/>
      <c r="I364" s="90"/>
      <c r="J364" s="112"/>
      <c r="K364" s="88"/>
      <c r="L364" s="90"/>
      <c r="M364" s="248">
        <f>SUM(D364,G364,J364)</f>
        <v>0</v>
      </c>
    </row>
    <row r="365" spans="1:13" ht="12.6" customHeight="1" x14ac:dyDescent="0.2">
      <c r="A365" s="149" t="s">
        <v>251</v>
      </c>
      <c r="C365" s="87"/>
      <c r="D365" s="247"/>
      <c r="E365" s="837"/>
      <c r="F365" s="837"/>
      <c r="G365" s="247"/>
      <c r="H365" s="837"/>
      <c r="I365" s="837"/>
      <c r="J365" s="247"/>
      <c r="K365" s="88"/>
      <c r="L365" s="90"/>
      <c r="M365" s="248"/>
    </row>
    <row r="366" spans="1:13" ht="30.6" customHeight="1" x14ac:dyDescent="0.2">
      <c r="A366" s="600">
        <f>A65</f>
        <v>0</v>
      </c>
      <c r="C366" s="87"/>
      <c r="D366" s="112"/>
      <c r="E366" s="88"/>
      <c r="F366" s="90"/>
      <c r="G366" s="112"/>
      <c r="H366" s="88"/>
      <c r="I366" s="90"/>
      <c r="J366" s="112"/>
      <c r="K366" s="88"/>
      <c r="L366" s="90"/>
      <c r="M366" s="248">
        <f>SUM(D366,G366,J366)</f>
        <v>0</v>
      </c>
    </row>
    <row r="367" spans="1:13" ht="12.6" customHeight="1" x14ac:dyDescent="0.2">
      <c r="A367" s="85" t="s">
        <v>652</v>
      </c>
      <c r="C367" s="87"/>
      <c r="D367" s="114">
        <f>SUM(D354:D366)</f>
        <v>0</v>
      </c>
      <c r="E367" s="88"/>
      <c r="F367" s="90"/>
      <c r="G367" s="114">
        <f>SUM(G354:G366)</f>
        <v>0</v>
      </c>
      <c r="H367" s="88"/>
      <c r="I367" s="90"/>
      <c r="J367" s="114">
        <f>SUM(J354:J366)</f>
        <v>0</v>
      </c>
      <c r="K367" s="88"/>
      <c r="L367" s="90"/>
      <c r="M367" s="114">
        <f>SUM(M354:M366)</f>
        <v>0</v>
      </c>
    </row>
    <row r="368" spans="1:13" ht="12.6" customHeight="1" x14ac:dyDescent="0.2">
      <c r="C368" s="87"/>
      <c r="D368" s="248"/>
      <c r="E368" s="88"/>
      <c r="F368" s="90"/>
      <c r="G368" s="248"/>
      <c r="H368" s="88"/>
      <c r="I368" s="90"/>
      <c r="J368" s="248"/>
      <c r="K368" s="88"/>
      <c r="L368" s="90"/>
      <c r="M368" s="248"/>
    </row>
    <row r="369" spans="1:16" ht="12.6" customHeight="1" x14ac:dyDescent="0.2">
      <c r="A369" s="85" t="s">
        <v>1441</v>
      </c>
      <c r="C369" s="87"/>
      <c r="D369" s="248"/>
      <c r="E369" s="88"/>
      <c r="F369" s="90"/>
      <c r="G369" s="248"/>
      <c r="H369" s="88"/>
      <c r="I369" s="90"/>
      <c r="J369" s="248"/>
      <c r="K369" s="88"/>
      <c r="L369" s="90"/>
      <c r="M369" s="248"/>
    </row>
    <row r="370" spans="1:16" ht="12.6" customHeight="1" x14ac:dyDescent="0.2">
      <c r="A370" s="1002" t="s">
        <v>1526</v>
      </c>
      <c r="C370" s="87"/>
      <c r="D370" s="248"/>
      <c r="E370" s="88"/>
      <c r="F370" s="90"/>
      <c r="G370" s="248"/>
      <c r="H370" s="88"/>
      <c r="I370" s="90"/>
      <c r="J370" s="248"/>
      <c r="K370" s="88"/>
      <c r="L370" s="90"/>
      <c r="M370" s="248"/>
    </row>
    <row r="371" spans="1:16" ht="12.6" customHeight="1" x14ac:dyDescent="0.2">
      <c r="A371" s="1010" t="s">
        <v>191</v>
      </c>
      <c r="C371" s="87"/>
      <c r="D371" s="116"/>
      <c r="E371" s="88"/>
      <c r="F371" s="90"/>
      <c r="G371" s="116"/>
      <c r="H371" s="88"/>
      <c r="I371" s="90"/>
      <c r="J371" s="116"/>
      <c r="K371" s="88"/>
      <c r="L371" s="90"/>
      <c r="M371" s="115">
        <f t="shared" ref="M371:M377" si="7">SUM(D371,G371,J371)</f>
        <v>0</v>
      </c>
    </row>
    <row r="372" spans="1:16" ht="12.6" customHeight="1" x14ac:dyDescent="0.2">
      <c r="A372" s="1008" t="s">
        <v>195</v>
      </c>
      <c r="C372" s="87"/>
      <c r="D372" s="116"/>
      <c r="E372" s="88"/>
      <c r="F372" s="90"/>
      <c r="G372" s="116"/>
      <c r="H372" s="88"/>
      <c r="I372" s="90"/>
      <c r="J372" s="116"/>
      <c r="K372" s="88"/>
      <c r="L372" s="90"/>
      <c r="M372" s="115">
        <f t="shared" si="7"/>
        <v>0</v>
      </c>
    </row>
    <row r="373" spans="1:16" ht="12.6" customHeight="1" x14ac:dyDescent="0.2">
      <c r="A373" s="1008" t="s">
        <v>718</v>
      </c>
      <c r="C373" s="87"/>
      <c r="D373" s="116"/>
      <c r="E373" s="88"/>
      <c r="F373" s="90"/>
      <c r="G373" s="116"/>
      <c r="H373" s="88"/>
      <c r="I373" s="90"/>
      <c r="J373" s="116"/>
      <c r="K373" s="88"/>
      <c r="L373" s="90"/>
      <c r="M373" s="115">
        <f t="shared" si="7"/>
        <v>0</v>
      </c>
    </row>
    <row r="374" spans="1:16" ht="12.6" customHeight="1" x14ac:dyDescent="0.2">
      <c r="A374" s="1008" t="s">
        <v>1439</v>
      </c>
      <c r="C374" s="87"/>
      <c r="D374" s="116"/>
      <c r="E374" s="88"/>
      <c r="F374" s="90"/>
      <c r="G374" s="116"/>
      <c r="H374" s="88"/>
      <c r="I374" s="90"/>
      <c r="J374" s="116"/>
      <c r="K374" s="88"/>
      <c r="L374" s="90"/>
      <c r="M374" s="115">
        <f t="shared" si="7"/>
        <v>0</v>
      </c>
    </row>
    <row r="375" spans="1:16" ht="12.6" customHeight="1" x14ac:dyDescent="0.2">
      <c r="A375" s="1008" t="s">
        <v>1417</v>
      </c>
      <c r="C375" s="87"/>
      <c r="D375" s="116"/>
      <c r="E375" s="88"/>
      <c r="F375" s="90"/>
      <c r="G375" s="116"/>
      <c r="H375" s="88"/>
      <c r="I375" s="90"/>
      <c r="J375" s="116"/>
      <c r="K375" s="88"/>
      <c r="L375" s="90"/>
      <c r="M375" s="115">
        <f t="shared" si="7"/>
        <v>0</v>
      </c>
    </row>
    <row r="376" spans="1:16" ht="23.25" customHeight="1" x14ac:dyDescent="0.2">
      <c r="A376" s="847" t="s">
        <v>1585</v>
      </c>
      <c r="C376" s="87"/>
      <c r="D376" s="116"/>
      <c r="E376" s="88"/>
      <c r="F376" s="90"/>
      <c r="G376" s="116"/>
      <c r="H376" s="88"/>
      <c r="I376" s="90"/>
      <c r="J376" s="116"/>
      <c r="K376" s="88"/>
      <c r="L376" s="90"/>
      <c r="M376" s="115">
        <f t="shared" ref="M376" si="8">SUM(D376,G376,J376)</f>
        <v>0</v>
      </c>
    </row>
    <row r="377" spans="1:16" ht="26.25" customHeight="1" x14ac:dyDescent="0.2">
      <c r="A377" s="847" t="s">
        <v>1576</v>
      </c>
      <c r="C377" s="87"/>
      <c r="D377" s="116"/>
      <c r="E377" s="88"/>
      <c r="F377" s="90"/>
      <c r="G377" s="116"/>
      <c r="H377" s="88"/>
      <c r="I377" s="90"/>
      <c r="J377" s="116"/>
      <c r="K377" s="88"/>
      <c r="L377" s="90"/>
      <c r="M377" s="115">
        <f t="shared" si="7"/>
        <v>0</v>
      </c>
    </row>
    <row r="378" spans="1:16" ht="12.6" customHeight="1" x14ac:dyDescent="0.2">
      <c r="A378" s="85" t="s">
        <v>1442</v>
      </c>
      <c r="C378" s="87"/>
      <c r="D378" s="114">
        <f>SUM(D371:D377)</f>
        <v>0</v>
      </c>
      <c r="E378" s="88"/>
      <c r="F378" s="90"/>
      <c r="G378" s="114">
        <f>SUM(G371:G377)</f>
        <v>0</v>
      </c>
      <c r="H378" s="88"/>
      <c r="I378" s="90"/>
      <c r="J378" s="114">
        <f>SUM(J371:J377)</f>
        <v>0</v>
      </c>
      <c r="K378" s="88"/>
      <c r="L378" s="90"/>
      <c r="M378" s="118">
        <f>SUM(M371:M377)</f>
        <v>0</v>
      </c>
    </row>
    <row r="379" spans="1:16" ht="12.6" customHeight="1" x14ac:dyDescent="0.2">
      <c r="A379" s="85" t="s">
        <v>1443</v>
      </c>
      <c r="D379" s="119">
        <f>D367+D378</f>
        <v>0</v>
      </c>
      <c r="G379" s="119">
        <f>G367+G378</f>
        <v>0</v>
      </c>
      <c r="J379" s="119">
        <f>J367+J378</f>
        <v>0</v>
      </c>
      <c r="M379" s="119">
        <f>SUM(M367,M378)</f>
        <v>0</v>
      </c>
      <c r="P379" s="516" t="s">
        <v>694</v>
      </c>
    </row>
    <row r="380" spans="1:16" ht="12.6" customHeight="1" x14ac:dyDescent="0.2">
      <c r="D380" s="237"/>
      <c r="G380" s="237"/>
      <c r="J380" s="237"/>
      <c r="M380" s="237"/>
      <c r="O380" s="516" t="s">
        <v>818</v>
      </c>
      <c r="P380" s="516" t="s">
        <v>1437</v>
      </c>
    </row>
    <row r="381" spans="1:16" ht="12.6" customHeight="1" x14ac:dyDescent="0.2">
      <c r="A381" s="85" t="s">
        <v>1428</v>
      </c>
      <c r="D381" s="119">
        <f>D351-D379</f>
        <v>0</v>
      </c>
      <c r="G381" s="119">
        <f>G351-G379</f>
        <v>0</v>
      </c>
      <c r="J381" s="119">
        <f>J351-J379</f>
        <v>0</v>
      </c>
      <c r="M381" s="119">
        <f>IF(M351-M379='Elimination Entries to FST'!H116,M351-M379,"ERROR")</f>
        <v>0</v>
      </c>
      <c r="N381" s="91"/>
      <c r="O381" s="423">
        <f>SUM(D381,G381,J381)</f>
        <v>0</v>
      </c>
      <c r="P381" s="423">
        <f>'Elimination Entries to FST'!H116-'TAB 3, Capital Assets'!O381</f>
        <v>0</v>
      </c>
    </row>
    <row r="382" spans="1:16" ht="11.25" x14ac:dyDescent="0.2">
      <c r="M382" s="98"/>
      <c r="N382" s="85" t="s">
        <v>12</v>
      </c>
    </row>
    <row r="383" spans="1:16" ht="12.6" customHeight="1" thickBot="1" x14ac:dyDescent="0.25">
      <c r="A383" s="85" t="s">
        <v>654</v>
      </c>
      <c r="C383" s="99" t="s">
        <v>503</v>
      </c>
      <c r="D383" s="120">
        <f>SUM(D325,D381)</f>
        <v>0</v>
      </c>
      <c r="F383" s="99" t="s">
        <v>503</v>
      </c>
      <c r="G383" s="120">
        <f>SUM(G325,G381)</f>
        <v>0</v>
      </c>
      <c r="I383" s="99" t="s">
        <v>503</v>
      </c>
      <c r="J383" s="120">
        <f>SUM(J325,J381)</f>
        <v>0</v>
      </c>
      <c r="L383" s="99" t="s">
        <v>503</v>
      </c>
      <c r="M383" s="120">
        <f>SUM(M325,M381)</f>
        <v>0</v>
      </c>
    </row>
    <row r="384" spans="1:16" ht="12.6" customHeight="1" thickTop="1" x14ac:dyDescent="0.2"/>
    <row r="391" spans="10:14" ht="12.6" hidden="1" customHeight="1" x14ac:dyDescent="0.2">
      <c r="J391" s="86" t="s">
        <v>115</v>
      </c>
      <c r="M391" s="86" t="s">
        <v>115</v>
      </c>
      <c r="N391" s="12" t="s">
        <v>288</v>
      </c>
    </row>
    <row r="392" spans="10:14" ht="12.6" hidden="1" customHeight="1" x14ac:dyDescent="0.2">
      <c r="J392" s="86" t="s">
        <v>687</v>
      </c>
      <c r="M392" s="86" t="s">
        <v>687</v>
      </c>
      <c r="N392" s="802" t="s">
        <v>1159</v>
      </c>
    </row>
    <row r="393" spans="10:14" ht="12.6" hidden="1" customHeight="1" x14ac:dyDescent="0.2">
      <c r="J393" s="86" t="s">
        <v>688</v>
      </c>
      <c r="M393" s="86" t="s">
        <v>688</v>
      </c>
      <c r="N393" s="802" t="s">
        <v>1161</v>
      </c>
    </row>
    <row r="394" spans="10:14" ht="12.6" hidden="1" customHeight="1" x14ac:dyDescent="0.2">
      <c r="J394" s="86" t="s">
        <v>339</v>
      </c>
      <c r="N394" s="802" t="s">
        <v>1164</v>
      </c>
    </row>
    <row r="395" spans="10:14" ht="12.6" hidden="1" customHeight="1" x14ac:dyDescent="0.2">
      <c r="N395" s="802" t="s">
        <v>1166</v>
      </c>
    </row>
    <row r="396" spans="10:14" ht="12.6" hidden="1" customHeight="1" x14ac:dyDescent="0.2">
      <c r="M396" s="18"/>
      <c r="N396" s="802" t="s">
        <v>1169</v>
      </c>
    </row>
    <row r="397" spans="10:14" ht="12.6" hidden="1" customHeight="1" x14ac:dyDescent="0.2">
      <c r="N397" s="802" t="s">
        <v>1170</v>
      </c>
    </row>
    <row r="398" spans="10:14" ht="12.6" hidden="1" customHeight="1" x14ac:dyDescent="0.2">
      <c r="N398" s="802" t="s">
        <v>1172</v>
      </c>
    </row>
    <row r="399" spans="10:14" ht="12.6" hidden="1" customHeight="1" x14ac:dyDescent="0.2">
      <c r="N399" s="802" t="s">
        <v>1173</v>
      </c>
    </row>
    <row r="400" spans="10:14" ht="12.6" hidden="1" customHeight="1" x14ac:dyDescent="0.2">
      <c r="N400" s="802" t="s">
        <v>1175</v>
      </c>
    </row>
    <row r="401" spans="14:14" ht="12.6" hidden="1" customHeight="1" x14ac:dyDescent="0.2">
      <c r="N401" s="802" t="s">
        <v>1177</v>
      </c>
    </row>
    <row r="402" spans="14:14" ht="12.6" hidden="1" customHeight="1" x14ac:dyDescent="0.2">
      <c r="N402" s="802" t="s">
        <v>1179</v>
      </c>
    </row>
    <row r="403" spans="14:14" ht="12.6" hidden="1" customHeight="1" x14ac:dyDescent="0.2">
      <c r="N403" s="802" t="s">
        <v>1181</v>
      </c>
    </row>
    <row r="404" spans="14:14" ht="12.6" hidden="1" customHeight="1" x14ac:dyDescent="0.2">
      <c r="N404" s="802" t="s">
        <v>1183</v>
      </c>
    </row>
    <row r="405" spans="14:14" ht="12.6" hidden="1" customHeight="1" x14ac:dyDescent="0.2">
      <c r="N405" s="802" t="s">
        <v>1185</v>
      </c>
    </row>
    <row r="406" spans="14:14" ht="12.6" hidden="1" customHeight="1" x14ac:dyDescent="0.2">
      <c r="N406" s="802" t="s">
        <v>1187</v>
      </c>
    </row>
    <row r="407" spans="14:14" ht="12.6" hidden="1" customHeight="1" x14ac:dyDescent="0.2">
      <c r="N407" s="802" t="s">
        <v>1189</v>
      </c>
    </row>
    <row r="408" spans="14:14" ht="12.6" hidden="1" customHeight="1" x14ac:dyDescent="0.2">
      <c r="N408" s="802" t="s">
        <v>1191</v>
      </c>
    </row>
    <row r="409" spans="14:14" ht="12.6" hidden="1" customHeight="1" x14ac:dyDescent="0.2">
      <c r="N409" s="802" t="s">
        <v>1193</v>
      </c>
    </row>
    <row r="410" spans="14:14" ht="12.6" hidden="1" customHeight="1" x14ac:dyDescent="0.2">
      <c r="N410" s="802" t="s">
        <v>1195</v>
      </c>
    </row>
    <row r="411" spans="14:14" ht="12.6" hidden="1" customHeight="1" x14ac:dyDescent="0.2">
      <c r="N411" s="802" t="s">
        <v>1197</v>
      </c>
    </row>
    <row r="412" spans="14:14" ht="12.6" hidden="1" customHeight="1" x14ac:dyDescent="0.2">
      <c r="N412" s="802" t="s">
        <v>1198</v>
      </c>
    </row>
    <row r="413" spans="14:14" ht="12.6" hidden="1" customHeight="1" x14ac:dyDescent="0.2">
      <c r="N413" s="802" t="s">
        <v>1200</v>
      </c>
    </row>
    <row r="414" spans="14:14" ht="12.6" hidden="1" customHeight="1" x14ac:dyDescent="0.2">
      <c r="N414" s="802" t="s">
        <v>1202</v>
      </c>
    </row>
    <row r="415" spans="14:14" ht="12.6" hidden="1" customHeight="1" x14ac:dyDescent="0.2">
      <c r="N415" s="802" t="s">
        <v>1203</v>
      </c>
    </row>
    <row r="416" spans="14:14" ht="12.6" hidden="1" customHeight="1" x14ac:dyDescent="0.2">
      <c r="N416" s="802" t="s">
        <v>1205</v>
      </c>
    </row>
    <row r="417" spans="14:14" ht="12.6" hidden="1" customHeight="1" x14ac:dyDescent="0.2">
      <c r="N417" s="802" t="s">
        <v>1207</v>
      </c>
    </row>
    <row r="418" spans="14:14" ht="12.6" hidden="1" customHeight="1" x14ac:dyDescent="0.2">
      <c r="N418" s="802" t="s">
        <v>1209</v>
      </c>
    </row>
  </sheetData>
  <sheetProtection algorithmName="SHA-512" hashValue="pNruRZU+0WUezG+WEffqwj+cMbEBWIkVgOc/Tz33A5aO9S/KJL4EX+jlWeSoCcwE/mQivtTsBEBYgUwxcaLn0w==" saltValue="+cmr6VFsFlr4Qyjerxji4A==" spinCount="100000" sheet="1" objects="1" scenarios="1"/>
  <mergeCells count="58">
    <mergeCell ref="A310:M310"/>
    <mergeCell ref="A252:M252"/>
    <mergeCell ref="A240:M240"/>
    <mergeCell ref="A298:J298"/>
    <mergeCell ref="A300:J300"/>
    <mergeCell ref="D268:G268"/>
    <mergeCell ref="A269:G269"/>
    <mergeCell ref="A267:N267"/>
    <mergeCell ref="A275:N275"/>
    <mergeCell ref="D276:G276"/>
    <mergeCell ref="A277:G277"/>
    <mergeCell ref="A250:I250"/>
    <mergeCell ref="A271:N271"/>
    <mergeCell ref="A272:G272"/>
    <mergeCell ref="A273:G273"/>
    <mergeCell ref="A282:M282"/>
    <mergeCell ref="C316:D316"/>
    <mergeCell ref="L316:M316"/>
    <mergeCell ref="A313:M313"/>
    <mergeCell ref="C314:D314"/>
    <mergeCell ref="L314:M314"/>
    <mergeCell ref="C315:D315"/>
    <mergeCell ref="L315:M315"/>
    <mergeCell ref="E1:M1"/>
    <mergeCell ref="C14:D14"/>
    <mergeCell ref="A164:M164"/>
    <mergeCell ref="J82:M82"/>
    <mergeCell ref="A82:I82"/>
    <mergeCell ref="C83:D83"/>
    <mergeCell ref="L83:M83"/>
    <mergeCell ref="C84:D84"/>
    <mergeCell ref="C85:D85"/>
    <mergeCell ref="A153:M153"/>
    <mergeCell ref="E2:M2"/>
    <mergeCell ref="C15:D15"/>
    <mergeCell ref="L15:M15"/>
    <mergeCell ref="L16:M16"/>
    <mergeCell ref="A10:M10"/>
    <mergeCell ref="E6:M6"/>
    <mergeCell ref="E3:M3"/>
    <mergeCell ref="E4:M4"/>
    <mergeCell ref="E5:M5"/>
    <mergeCell ref="C16:D16"/>
    <mergeCell ref="L14:M14"/>
    <mergeCell ref="A160:M160"/>
    <mergeCell ref="A162:M162"/>
    <mergeCell ref="A239:M239"/>
    <mergeCell ref="A231:M231"/>
    <mergeCell ref="A221:J221"/>
    <mergeCell ref="A161:M161"/>
    <mergeCell ref="A230:J230"/>
    <mergeCell ref="A225:M225"/>
    <mergeCell ref="A227:G227"/>
    <mergeCell ref="A229:M229"/>
    <mergeCell ref="A216:M216"/>
    <mergeCell ref="A217:M217"/>
    <mergeCell ref="A233:M233"/>
    <mergeCell ref="A237:I237"/>
  </mergeCells>
  <phoneticPr fontId="12" type="noConversion"/>
  <conditionalFormatting sqref="A186 E186:XFD186 A187:XFD232 N233:XFD233 A234:XFD236 A237 J237:XFD237 A238:XFD249 A250 J250:XFD250 A251:XFD266 A267 O267:XFD267 A268:D268 H268:XFD269 A269 A270:XFD270 A276:D276 H276:XFD277 A277 A278:XFD1048576">
    <cfRule type="cellIs" dxfId="159" priority="5" operator="equal">
      <formula>"Answer Required"</formula>
    </cfRule>
  </conditionalFormatting>
  <conditionalFormatting sqref="A233">
    <cfRule type="cellIs" dxfId="158" priority="4" operator="equal">
      <formula>"Answer Required"</formula>
    </cfRule>
  </conditionalFormatting>
  <conditionalFormatting sqref="A271:A275 H272:N274">
    <cfRule type="cellIs" dxfId="157" priority="2" operator="equal">
      <formula>"Answer Required"</formula>
    </cfRule>
  </conditionalFormatting>
  <conditionalFormatting sqref="A1:XFD185">
    <cfRule type="cellIs" dxfId="156" priority="1" operator="equal">
      <formula>"Answer Required"</formula>
    </cfRule>
  </conditionalFormatting>
  <conditionalFormatting sqref="O271:XFD275">
    <cfRule type="cellIs" dxfId="155" priority="3" operator="equal">
      <formula>"Answer Required"</formula>
    </cfRule>
  </conditionalFormatting>
  <dataValidations xWindow="271" yWindow="407" count="8">
    <dataValidation type="list" allowBlank="1" showInputMessage="1" showErrorMessage="1" error="Enter yes or no." sqref="M237 M157 M298 M221" xr:uid="{00000000-0002-0000-0C00-000000000000}">
      <formula1>$M$392:$M$393</formula1>
    </dataValidation>
    <dataValidation type="whole" allowBlank="1" showInputMessage="1" showErrorMessage="1" error="Enter whole number." sqref="J359:J366 G359:G366 D359:D366 J354:J357 G354:G357 D354:D357 D318:D324 G318:G324 J318:J324 J53:J56 G328:G331 J328:J331 D110:D118 J28:J31 D53:D56 G53:G56 D58:D65 G58:G65 D18:D24 G18:G24 J18:J24 J58:J65 J168:J172 J174:J184 D28:D31 G28:G31 D33:D49 G33:G49 D328:D331 J187:J193 G110 J33:J49 D333:D350 D69:D75 J69:J75 G69:G75 G333:G350 J333:J350 G371:G377 D371:D377 J371:J377" xr:uid="{00000000-0002-0000-0C00-000001000000}">
      <formula1>-1000000000000000000</formula1>
      <formula2>10000000000000000000</formula2>
    </dataValidation>
    <dataValidation type="whole" allowBlank="1" showInputMessage="1" showErrorMessage="1" error="Enter whole number._x000a_" sqref="J255:J265 M255:M258 M305:M307 M293:N293 J268:J269 J276:J277 J272:J274" xr:uid="{00000000-0002-0000-0C00-000002000000}">
      <formula1>-1000000000000000</formula1>
      <formula2>1000000000000000</formula2>
    </dataValidation>
    <dataValidation allowBlank="1" showInputMessage="1" showErrorMessage="1" error="Enter whole number._x000a_" sqref="M294:N294" xr:uid="{00000000-0002-0000-0C00-000003000000}"/>
    <dataValidation allowBlank="1" showInputMessage="1" error="Select the institution number-institution acronym from the drop-down list._x000a_" sqref="N82" xr:uid="{00000000-0002-0000-0C00-000004000000}"/>
    <dataValidation type="whole" allowBlank="1" showInputMessage="1" showErrorMessage="1" error="Enter a 3-digit agency control number." sqref="E1:M1" xr:uid="{00000000-0002-0000-0C00-000005000000}">
      <formula1>100</formula1>
      <formula2>999</formula2>
    </dataValidation>
    <dataValidation type="list" allowBlank="1" showInputMessage="1" showErrorMessage="1" error="Enter yes, no, or n/a" sqref="M227 M243" xr:uid="{00000000-0002-0000-0C00-000006000000}">
      <formula1>$J$392:$J$394</formula1>
    </dataValidation>
    <dataValidation type="list" allowBlank="1" showInputMessage="1" showErrorMessage="1" error="Enter yes, no, or n/a." sqref="M250 M246 M292:N292" xr:uid="{00000000-0002-0000-0C00-000007000000}">
      <formula1>$J$392:$J$394</formula1>
    </dataValidation>
  </dataValidations>
  <pageMargins left="0.7" right="0.7" top="0.75" bottom="0.75" header="0.3" footer="0.3"/>
  <pageSetup scale="54" fitToHeight="0" orientation="portrait" cellComments="asDisplayed" r:id="rId1"/>
  <headerFooter alignWithMargins="0">
    <oddHeader>&amp;C&amp;"Arial,Bold"&amp;11Attachment HE-10
Financial Statement Template
&amp;A</oddHeader>
    <oddFooter>&amp;L&amp;"Arial,Regular"&amp;F \ &amp;A&amp;R&amp;"Arial,Regular"Page &amp;P</oddFooter>
  </headerFooter>
  <rowBreaks count="6" manualBreakCount="6">
    <brk id="80" max="16383" man="1"/>
    <brk id="155" max="16383" man="1"/>
    <brk id="215" max="16383" man="1"/>
    <brk id="217" max="16383" man="1"/>
    <brk id="285" max="16383" man="1"/>
    <brk id="310" max="15" man="1"/>
  </rowBreaks>
  <ignoredErrors>
    <ignoredError sqref="A240"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46"/>
  <sheetViews>
    <sheetView showGridLines="0" zoomScale="90" zoomScaleNormal="90" zoomScaleSheetLayoutView="75" workbookViewId="0"/>
  </sheetViews>
  <sheetFormatPr defaultColWidth="10.6640625" defaultRowHeight="12.75" x14ac:dyDescent="0.2"/>
  <cols>
    <col min="1" max="1" width="36.83203125" style="134" customWidth="1"/>
    <col min="2" max="2" width="16.83203125" style="134" customWidth="1"/>
    <col min="3" max="3" width="17.83203125" style="134" customWidth="1"/>
    <col min="4" max="4" width="17.5" style="134" customWidth="1"/>
    <col min="5" max="5" width="16.5" style="134" customWidth="1"/>
    <col min="6" max="6" width="18" style="134" customWidth="1"/>
    <col min="7" max="7" width="20.6640625" style="134" customWidth="1"/>
    <col min="8" max="8" width="19.5" style="134" customWidth="1"/>
    <col min="9" max="9" width="20.6640625" style="134" customWidth="1"/>
    <col min="10" max="10" width="24.1640625" style="134" customWidth="1"/>
    <col min="11" max="12" width="17.83203125" style="134" customWidth="1"/>
    <col min="13" max="13" width="20.6640625" style="134" customWidth="1"/>
    <col min="14" max="14" width="20" style="134" customWidth="1"/>
    <col min="15" max="15" width="20.1640625" style="134" customWidth="1"/>
    <col min="16" max="19" width="21" style="134" customWidth="1"/>
    <col min="20" max="16384" width="10.6640625" style="134"/>
  </cols>
  <sheetData>
    <row r="1" spans="1:19" s="85" customFormat="1" ht="12.6" customHeight="1" x14ac:dyDescent="0.2">
      <c r="A1" s="824" t="s">
        <v>1155</v>
      </c>
      <c r="B1" s="125"/>
      <c r="C1" s="1350">
        <f>FST!E1</f>
        <v>0</v>
      </c>
      <c r="D1" s="1351"/>
      <c r="E1" s="1351"/>
      <c r="F1" s="1352"/>
      <c r="G1" s="126"/>
    </row>
    <row r="2" spans="1:19" s="85" customFormat="1" ht="40.5" customHeight="1" x14ac:dyDescent="0.2">
      <c r="A2" s="824" t="s">
        <v>770</v>
      </c>
      <c r="B2" s="125"/>
      <c r="C2" s="1350" t="str">
        <f>FST!E2</f>
        <v/>
      </c>
      <c r="D2" s="1351"/>
      <c r="E2" s="1351"/>
      <c r="F2" s="1352"/>
      <c r="G2" s="126"/>
    </row>
    <row r="3" spans="1:19" s="85" customFormat="1" x14ac:dyDescent="0.2">
      <c r="A3" s="824" t="s">
        <v>771</v>
      </c>
      <c r="B3" s="125"/>
      <c r="C3" s="1362">
        <f>FST!E3</f>
        <v>0</v>
      </c>
      <c r="D3" s="1363"/>
      <c r="E3" s="1363"/>
      <c r="F3" s="1364"/>
      <c r="G3" s="126"/>
    </row>
    <row r="4" spans="1:19" s="85" customFormat="1" ht="15" customHeight="1" x14ac:dyDescent="0.2">
      <c r="A4" s="824" t="s">
        <v>773</v>
      </c>
      <c r="B4" s="125"/>
      <c r="C4" s="1365">
        <f>FST!E4</f>
        <v>0</v>
      </c>
      <c r="D4" s="1366"/>
      <c r="E4" s="1366"/>
      <c r="F4" s="1367"/>
      <c r="G4" s="126"/>
    </row>
    <row r="5" spans="1:19" s="85" customFormat="1" x14ac:dyDescent="0.2">
      <c r="A5" s="825" t="s">
        <v>774</v>
      </c>
      <c r="B5" s="125"/>
      <c r="C5" s="1362">
        <f>FST!E5</f>
        <v>0</v>
      </c>
      <c r="D5" s="1363"/>
      <c r="E5" s="1363"/>
      <c r="F5" s="1364"/>
      <c r="G5" s="126"/>
    </row>
    <row r="6" spans="1:19" s="85" customFormat="1" ht="12.6" customHeight="1" x14ac:dyDescent="0.2">
      <c r="A6" s="826" t="s">
        <v>775</v>
      </c>
      <c r="B6" s="77"/>
      <c r="C6" s="1340">
        <f>FST!E6</f>
        <v>0</v>
      </c>
      <c r="D6" s="1341"/>
      <c r="E6" s="1341"/>
      <c r="F6" s="1342"/>
      <c r="G6" s="102"/>
    </row>
    <row r="7" spans="1:19" s="78" customFormat="1" ht="12.6" customHeight="1" x14ac:dyDescent="0.2">
      <c r="A7" s="827" t="s">
        <v>805</v>
      </c>
      <c r="B7" s="77"/>
      <c r="C7" s="77"/>
      <c r="D7" s="77"/>
      <c r="F7" s="79"/>
      <c r="G7" s="127"/>
    </row>
    <row r="8" spans="1:19" s="78" customFormat="1" ht="12.6" customHeight="1" x14ac:dyDescent="0.2">
      <c r="A8" s="827" t="s">
        <v>1734</v>
      </c>
      <c r="B8" s="77"/>
      <c r="C8" s="77"/>
      <c r="D8" s="77"/>
      <c r="F8" s="79"/>
      <c r="G8" s="127"/>
    </row>
    <row r="9" spans="1:19" s="78" customFormat="1" ht="12.6" customHeight="1" x14ac:dyDescent="0.2">
      <c r="A9" s="827"/>
      <c r="B9" s="77"/>
      <c r="C9" s="77"/>
      <c r="D9" s="77"/>
      <c r="F9" s="79"/>
      <c r="G9" s="127"/>
    </row>
    <row r="10" spans="1:19" s="78" customFormat="1" x14ac:dyDescent="0.2">
      <c r="A10" s="1343" t="s">
        <v>449</v>
      </c>
      <c r="B10" s="1264"/>
      <c r="C10" s="1264"/>
      <c r="D10" s="1264"/>
      <c r="E10" s="1264"/>
      <c r="F10" s="1264"/>
      <c r="G10" s="127"/>
    </row>
    <row r="11" spans="1:19" s="78" customFormat="1" ht="12.6" customHeight="1" x14ac:dyDescent="0.2">
      <c r="A11" s="128"/>
      <c r="B11" s="129"/>
      <c r="C11" s="129"/>
      <c r="D11" s="129"/>
      <c r="E11" s="130"/>
      <c r="F11" s="131"/>
      <c r="G11" s="127"/>
    </row>
    <row r="12" spans="1:19" s="78" customFormat="1" ht="12.6" customHeight="1" x14ac:dyDescent="0.2">
      <c r="A12" s="132"/>
      <c r="B12" s="77"/>
      <c r="C12" s="77"/>
      <c r="D12" s="77"/>
      <c r="F12" s="79"/>
      <c r="G12" s="127"/>
    </row>
    <row r="13" spans="1:19" ht="38.25" customHeight="1" x14ac:dyDescent="0.2">
      <c r="A13" s="133" t="s">
        <v>696</v>
      </c>
      <c r="M13" s="1339" t="s">
        <v>931</v>
      </c>
      <c r="N13" s="1339"/>
    </row>
    <row r="14" spans="1:19" ht="26.25" customHeight="1" x14ac:dyDescent="0.2">
      <c r="A14" s="135"/>
      <c r="E14" s="136"/>
      <c r="G14" s="1348" t="s">
        <v>1750</v>
      </c>
      <c r="H14" s="1348"/>
      <c r="I14" s="1348"/>
      <c r="M14" s="646"/>
      <c r="N14" s="646"/>
    </row>
    <row r="15" spans="1:19" ht="51" x14ac:dyDescent="0.2">
      <c r="A15" s="135"/>
      <c r="B15" s="644" t="s">
        <v>1757</v>
      </c>
      <c r="C15" s="137" t="s">
        <v>367</v>
      </c>
      <c r="D15" s="137" t="s">
        <v>368</v>
      </c>
      <c r="E15" s="644" t="s">
        <v>1751</v>
      </c>
      <c r="F15" s="137" t="s">
        <v>369</v>
      </c>
      <c r="G15" s="863" t="s">
        <v>1325</v>
      </c>
      <c r="H15" s="863" t="s">
        <v>1326</v>
      </c>
      <c r="I15" s="863" t="s">
        <v>482</v>
      </c>
      <c r="J15" s="863" t="s">
        <v>1756</v>
      </c>
      <c r="M15" s="644" t="s">
        <v>911</v>
      </c>
      <c r="N15" s="644" t="s">
        <v>912</v>
      </c>
      <c r="P15" s="430" t="s">
        <v>1752</v>
      </c>
      <c r="Q15" s="430" t="s">
        <v>1753</v>
      </c>
      <c r="R15" s="430" t="s">
        <v>446</v>
      </c>
      <c r="S15" s="430" t="s">
        <v>698</v>
      </c>
    </row>
    <row r="16" spans="1:19" x14ac:dyDescent="0.2">
      <c r="A16" s="213" t="s">
        <v>578</v>
      </c>
      <c r="B16" s="122"/>
      <c r="C16" s="122"/>
      <c r="D16" s="122"/>
      <c r="E16" s="214">
        <f>IF(SUM(B16:D16)=SUM(FST!G158,FST!G174),SUM(B16:D16),"ERROR")</f>
        <v>0</v>
      </c>
      <c r="F16" s="214">
        <f>FST!G158</f>
        <v>0</v>
      </c>
      <c r="G16" s="214"/>
      <c r="H16" s="214"/>
      <c r="I16" s="214"/>
      <c r="J16" s="214"/>
      <c r="M16" s="646"/>
      <c r="N16" s="646"/>
      <c r="P16" s="431">
        <f>SUM(B16:D16)</f>
        <v>0</v>
      </c>
      <c r="Q16" s="431">
        <f>SUM(FST!G158,FST!G174)-'TAB 5, LT Liabilities'!P16</f>
        <v>0</v>
      </c>
      <c r="R16" s="431"/>
      <c r="S16" s="218"/>
    </row>
    <row r="17" spans="1:19" ht="24" x14ac:dyDescent="0.2">
      <c r="A17" s="896" t="s">
        <v>1812</v>
      </c>
      <c r="B17" s="122"/>
      <c r="C17" s="122"/>
      <c r="D17" s="122"/>
      <c r="E17" s="214">
        <f>IF(SUM(B17:D17)=SUM(FST!G159,FST!G175),SUM(B17:D17),"ERROR")</f>
        <v>0</v>
      </c>
      <c r="F17" s="214">
        <f>FST!G159</f>
        <v>0</v>
      </c>
      <c r="G17" s="214"/>
      <c r="H17" s="214"/>
      <c r="I17" s="214"/>
      <c r="J17" s="214"/>
      <c r="M17" s="646"/>
      <c r="N17" s="646"/>
      <c r="P17" s="431">
        <f>SUM(B17:D17)</f>
        <v>0</v>
      </c>
      <c r="Q17" s="431">
        <f>SUM(FST!G159,FST!G175)-'TAB 5, LT Liabilities'!P17</f>
        <v>0</v>
      </c>
      <c r="R17" s="431"/>
      <c r="S17" s="218"/>
    </row>
    <row r="18" spans="1:19" ht="36" customHeight="1" x14ac:dyDescent="0.2">
      <c r="A18" s="896" t="s">
        <v>1587</v>
      </c>
      <c r="B18" s="122"/>
      <c r="C18" s="122"/>
      <c r="D18" s="122"/>
      <c r="E18" s="214">
        <f>IF(SUM(B18:D18)=SUM(FST!G160,FST!G176),SUM(B18:D18),"ERROR")</f>
        <v>0</v>
      </c>
      <c r="F18" s="214">
        <f>FST!G160</f>
        <v>0</v>
      </c>
      <c r="G18" s="214"/>
      <c r="H18" s="214"/>
      <c r="I18" s="214"/>
      <c r="J18" s="214"/>
      <c r="K18" s="646"/>
      <c r="P18" s="431">
        <f t="shared" ref="P18:P19" si="0">SUM(B18:D18)</f>
        <v>0</v>
      </c>
      <c r="Q18" s="431">
        <f>SUM(FST!G160,FST!G176)-'TAB 5, LT Liabilities'!P18</f>
        <v>0</v>
      </c>
      <c r="R18" s="431"/>
      <c r="S18" s="218"/>
    </row>
    <row r="19" spans="1:19" ht="53.25" customHeight="1" x14ac:dyDescent="0.2">
      <c r="A19" s="896" t="s">
        <v>1703</v>
      </c>
      <c r="B19" s="122"/>
      <c r="C19" s="122"/>
      <c r="D19" s="122"/>
      <c r="E19" s="214">
        <f>IF(SUM(B19:D19)=SUM(FST!G161,FST!G177),SUM(B19:D19),"ERROR")</f>
        <v>0</v>
      </c>
      <c r="F19" s="214">
        <f>FST!G161</f>
        <v>0</v>
      </c>
      <c r="G19" s="214"/>
      <c r="H19" s="214"/>
      <c r="I19" s="214"/>
      <c r="J19" s="214"/>
      <c r="K19" s="646"/>
      <c r="P19" s="431">
        <f t="shared" si="0"/>
        <v>0</v>
      </c>
      <c r="Q19" s="431">
        <f>SUM(FST!G161,FST!G177)-'TAB 5, LT Liabilities'!P19</f>
        <v>0</v>
      </c>
      <c r="R19" s="431"/>
      <c r="S19" s="218"/>
    </row>
    <row r="20" spans="1:19" x14ac:dyDescent="0.2">
      <c r="A20" s="213"/>
      <c r="B20" s="214"/>
      <c r="C20" s="214"/>
      <c r="D20" s="214"/>
      <c r="E20" s="214"/>
      <c r="F20" s="214"/>
      <c r="G20" s="214"/>
      <c r="H20" s="214"/>
      <c r="I20" s="214"/>
      <c r="J20" s="214"/>
      <c r="M20" s="709" t="s">
        <v>386</v>
      </c>
      <c r="N20" s="709" t="s">
        <v>386</v>
      </c>
      <c r="P20" s="431"/>
      <c r="Q20" s="431"/>
      <c r="R20" s="431"/>
      <c r="S20" s="218"/>
    </row>
    <row r="21" spans="1:19" ht="24" customHeight="1" x14ac:dyDescent="0.2">
      <c r="A21" s="896" t="s">
        <v>1297</v>
      </c>
      <c r="B21" s="122"/>
      <c r="C21" s="122"/>
      <c r="D21" s="122"/>
      <c r="E21" s="214">
        <f>SUM(B21:D21)</f>
        <v>0</v>
      </c>
      <c r="F21" s="122"/>
      <c r="G21" s="831"/>
      <c r="H21" s="831"/>
      <c r="I21" s="831"/>
      <c r="J21" s="864">
        <f>IF(E21=SUM(G21:I21),SUM(G21:I21),"ERROR")</f>
        <v>0</v>
      </c>
      <c r="K21" s="646"/>
      <c r="M21" s="122"/>
      <c r="N21" s="122"/>
      <c r="P21" s="431"/>
      <c r="Q21" s="431"/>
      <c r="R21" s="431"/>
      <c r="S21" s="218"/>
    </row>
    <row r="22" spans="1:19" ht="36" x14ac:dyDescent="0.2">
      <c r="A22" s="213" t="s">
        <v>715</v>
      </c>
      <c r="B22" s="122"/>
      <c r="C22" s="122"/>
      <c r="D22" s="122"/>
      <c r="E22" s="214">
        <f>SUM(B22:D22)</f>
        <v>0</v>
      </c>
      <c r="F22" s="122"/>
      <c r="G22" s="831"/>
      <c r="H22" s="831"/>
      <c r="I22" s="831"/>
      <c r="J22" s="864">
        <f>IF(E22=SUM(G22:I22),SUM(G22:I22),"ERROR")</f>
        <v>0</v>
      </c>
      <c r="M22" s="122"/>
      <c r="N22" s="122"/>
      <c r="P22" s="431"/>
      <c r="Q22" s="431"/>
      <c r="R22" s="431"/>
      <c r="S22" s="218"/>
    </row>
    <row r="23" spans="1:19" x14ac:dyDescent="0.2">
      <c r="A23" s="213" t="s">
        <v>454</v>
      </c>
      <c r="B23" s="215">
        <f>SUM(B21:B22)</f>
        <v>0</v>
      </c>
      <c r="C23" s="215">
        <f>SUM(C21:C22)</f>
        <v>0</v>
      </c>
      <c r="D23" s="215">
        <f>SUM(D21:D22)</f>
        <v>0</v>
      </c>
      <c r="E23" s="215">
        <f>IF(SUM(E21:E22)=SUM(FST!G162,FST!G178),SUM(E21:E22),"ERROR")</f>
        <v>0</v>
      </c>
      <c r="F23" s="215">
        <f>IF(SUM(F21:F22)=FST!G162,SUM(F21:F22),"ERROR")</f>
        <v>0</v>
      </c>
      <c r="G23" s="280"/>
      <c r="H23" s="280"/>
      <c r="I23" s="280"/>
      <c r="J23" s="280"/>
      <c r="M23" s="646"/>
      <c r="N23" s="646"/>
      <c r="P23" s="431">
        <f>SUM(E21:E22)</f>
        <v>0</v>
      </c>
      <c r="Q23" s="431">
        <f>SUM(FST!G162,FST!G178)-'TAB 5, LT Liabilities'!P23</f>
        <v>0</v>
      </c>
      <c r="R23" s="431">
        <f>SUM(F21:F22)</f>
        <v>0</v>
      </c>
      <c r="S23" s="431">
        <f>FST!G162-'TAB 5, LT Liabilities'!R23</f>
        <v>0</v>
      </c>
    </row>
    <row r="24" spans="1:19" x14ac:dyDescent="0.2">
      <c r="A24" s="213"/>
      <c r="B24" s="214"/>
      <c r="C24" s="214"/>
      <c r="D24" s="214"/>
      <c r="E24" s="214"/>
      <c r="F24" s="214"/>
      <c r="G24" s="214"/>
      <c r="H24" s="214"/>
      <c r="I24" s="214"/>
      <c r="J24" s="214"/>
      <c r="M24" s="646"/>
      <c r="N24" s="646"/>
      <c r="P24" s="431"/>
      <c r="Q24" s="431"/>
      <c r="R24" s="431"/>
      <c r="S24" s="218"/>
    </row>
    <row r="25" spans="1:19" ht="24" x14ac:dyDescent="0.2">
      <c r="A25" s="896" t="s">
        <v>1298</v>
      </c>
      <c r="B25" s="122"/>
      <c r="C25" s="122"/>
      <c r="D25" s="122"/>
      <c r="E25" s="214">
        <f>SUM(B25:D25)</f>
        <v>0</v>
      </c>
      <c r="F25" s="122"/>
      <c r="G25" s="831"/>
      <c r="H25" s="831"/>
      <c r="I25" s="831"/>
      <c r="J25" s="864">
        <f>IF(E25=SUM(G25:I25),SUM(G25:I25),"ERROR")</f>
        <v>0</v>
      </c>
      <c r="K25" s="646"/>
      <c r="M25" s="122"/>
      <c r="N25" s="122"/>
      <c r="P25" s="431"/>
      <c r="Q25" s="431"/>
      <c r="R25" s="431"/>
      <c r="S25" s="218"/>
    </row>
    <row r="26" spans="1:19" ht="24" x14ac:dyDescent="0.2">
      <c r="A26" s="896" t="s">
        <v>1299</v>
      </c>
      <c r="B26" s="122"/>
      <c r="C26" s="122"/>
      <c r="D26" s="122"/>
      <c r="E26" s="214">
        <f>SUM(B26:D26)</f>
        <v>0</v>
      </c>
      <c r="F26" s="122"/>
      <c r="G26" s="831"/>
      <c r="H26" s="831"/>
      <c r="I26" s="831"/>
      <c r="J26" s="864">
        <f t="shared" ref="J26:J27" si="1">IF(E26=SUM(G26:I26),SUM(G26:I26),"ERROR")</f>
        <v>0</v>
      </c>
      <c r="K26" s="646"/>
      <c r="M26" s="122"/>
      <c r="N26" s="122"/>
      <c r="P26" s="431"/>
      <c r="Q26" s="431"/>
      <c r="R26" s="431"/>
      <c r="S26" s="218"/>
    </row>
    <row r="27" spans="1:19" ht="24" x14ac:dyDescent="0.2">
      <c r="A27" s="896" t="s">
        <v>1300</v>
      </c>
      <c r="B27" s="122"/>
      <c r="C27" s="122"/>
      <c r="D27" s="122"/>
      <c r="E27" s="214">
        <f>SUM(B27:D27)</f>
        <v>0</v>
      </c>
      <c r="F27" s="122"/>
      <c r="G27" s="831"/>
      <c r="H27" s="831"/>
      <c r="I27" s="831"/>
      <c r="J27" s="864">
        <f t="shared" si="1"/>
        <v>0</v>
      </c>
      <c r="K27" s="646"/>
      <c r="M27" s="122"/>
      <c r="N27" s="122"/>
      <c r="P27" s="431"/>
      <c r="Q27" s="431"/>
      <c r="R27" s="431"/>
      <c r="S27" s="218"/>
    </row>
    <row r="28" spans="1:19" ht="64.5" thickBot="1" x14ac:dyDescent="0.25">
      <c r="A28" s="213" t="s">
        <v>455</v>
      </c>
      <c r="B28" s="215">
        <f>SUM(B25:B27)</f>
        <v>0</v>
      </c>
      <c r="C28" s="215">
        <f>SUM(C25:C27)</f>
        <v>0</v>
      </c>
      <c r="D28" s="215">
        <f>SUM(D25:D27)</f>
        <v>0</v>
      </c>
      <c r="E28" s="215">
        <f>IF(SUM(E25:E27)=SUM(FST!G163,FST!G179),SUM(E25:E27),"ERROR")</f>
        <v>0</v>
      </c>
      <c r="F28" s="215">
        <f>IF(SUM(F25:F27)=FST!G163,SUM(F25:F27),"ERROR")</f>
        <v>0</v>
      </c>
      <c r="G28" s="280"/>
      <c r="H28" s="280"/>
      <c r="I28" s="280"/>
      <c r="J28" s="280"/>
      <c r="L28" s="644" t="s">
        <v>913</v>
      </c>
      <c r="M28" s="692">
        <f>SUM(M21:M22,M25:M27)</f>
        <v>0</v>
      </c>
      <c r="N28" s="692">
        <f>SUM(N21:N22,N25:N27)</f>
        <v>0</v>
      </c>
      <c r="P28" s="431">
        <f>SUM(E25:E27)</f>
        <v>0</v>
      </c>
      <c r="Q28" s="431">
        <f>SUM(FST!G163,FST!G179)-'TAB 5, LT Liabilities'!P28</f>
        <v>0</v>
      </c>
      <c r="R28" s="431">
        <f>SUM(F25:F27)</f>
        <v>0</v>
      </c>
      <c r="S28" s="431">
        <f>FST!G163-'TAB 5, LT Liabilities'!R28</f>
        <v>0</v>
      </c>
    </row>
    <row r="29" spans="1:19" ht="13.5" thickTop="1" x14ac:dyDescent="0.2">
      <c r="A29" s="213"/>
      <c r="B29" s="214"/>
      <c r="C29" s="214"/>
      <c r="D29" s="214"/>
      <c r="E29" s="214"/>
      <c r="F29" s="214"/>
      <c r="G29" s="214"/>
      <c r="H29" s="214"/>
      <c r="I29" s="214"/>
      <c r="J29" s="214"/>
      <c r="P29" s="431"/>
      <c r="Q29" s="431"/>
      <c r="R29" s="431"/>
      <c r="S29" s="218"/>
    </row>
    <row r="30" spans="1:19" x14ac:dyDescent="0.2">
      <c r="A30" s="213" t="s">
        <v>816</v>
      </c>
      <c r="B30" s="122"/>
      <c r="C30" s="122"/>
      <c r="D30" s="122"/>
      <c r="E30" s="214">
        <f>IF(SUM(B30:D30)=SUM(FST!G164,FST!G180),SUM(B30:D30),"ERROR")</f>
        <v>0</v>
      </c>
      <c r="F30" s="214">
        <f>FST!G164</f>
        <v>0</v>
      </c>
      <c r="G30" s="831"/>
      <c r="H30" s="831"/>
      <c r="I30" s="831"/>
      <c r="J30" s="864">
        <f t="shared" ref="J30" si="2">IF(E30=SUM(G30:I30),SUM(G30:I30),"ERROR")</f>
        <v>0</v>
      </c>
      <c r="P30" s="431">
        <f t="shared" ref="P30:P36" si="3">SUM(B30:D30)</f>
        <v>0</v>
      </c>
      <c r="Q30" s="431">
        <f>SUM(FST!G164,FST!G180)-'TAB 5, LT Liabilities'!P30</f>
        <v>0</v>
      </c>
      <c r="R30" s="431"/>
      <c r="S30" s="218"/>
    </row>
    <row r="31" spans="1:19" x14ac:dyDescent="0.2">
      <c r="A31" s="213" t="s">
        <v>716</v>
      </c>
      <c r="B31" s="122"/>
      <c r="C31" s="122"/>
      <c r="D31" s="122"/>
      <c r="E31" s="214">
        <f>IF(SUM(B31:D31)=SUM(FST!G165,FST!G181),SUM(B31:D31),"ERROR")</f>
        <v>0</v>
      </c>
      <c r="F31" s="214">
        <f>FST!G165</f>
        <v>0</v>
      </c>
      <c r="G31" s="214"/>
      <c r="H31" s="214"/>
      <c r="I31" s="214"/>
      <c r="J31" s="214"/>
      <c r="P31" s="431">
        <f>SUM(B31:D31)</f>
        <v>0</v>
      </c>
      <c r="Q31" s="431">
        <f>SUM(FST!G165,FST!G181)-'TAB 5, LT Liabilities'!P31</f>
        <v>0</v>
      </c>
      <c r="R31" s="431"/>
      <c r="S31" s="218"/>
    </row>
    <row r="32" spans="1:19" ht="24" x14ac:dyDescent="0.2">
      <c r="A32" s="896" t="s">
        <v>1683</v>
      </c>
      <c r="B32" s="122"/>
      <c r="C32" s="122"/>
      <c r="D32" s="122"/>
      <c r="E32" s="214">
        <f>IF(SUM(B32:D32)=SUM(FST!G166,FST!G182),SUM(B32:D32),"ERROR")</f>
        <v>0</v>
      </c>
      <c r="F32" s="214">
        <f>FST!G166</f>
        <v>0</v>
      </c>
      <c r="G32" s="214"/>
      <c r="H32" s="214"/>
      <c r="I32" s="214"/>
      <c r="J32" s="214"/>
      <c r="P32" s="431">
        <f>SUM(B32:D32)</f>
        <v>0</v>
      </c>
      <c r="Q32" s="431">
        <f>SUM(FST!G166,FST!G182)-'TAB 5, LT Liabilities'!P32</f>
        <v>0</v>
      </c>
      <c r="R32" s="431"/>
      <c r="S32" s="218"/>
    </row>
    <row r="33" spans="1:19" x14ac:dyDescent="0.2">
      <c r="A33" s="896" t="s">
        <v>1279</v>
      </c>
      <c r="B33" s="122"/>
      <c r="C33" s="122"/>
      <c r="D33" s="122"/>
      <c r="E33" s="214">
        <f>IF(SUM(B33:D33)=SUM(FST!G183),SUM(B33:D33),"ERROR")</f>
        <v>0</v>
      </c>
      <c r="F33" s="214">
        <v>0</v>
      </c>
      <c r="G33" s="214"/>
      <c r="H33" s="214"/>
      <c r="I33" s="214"/>
      <c r="J33" s="214"/>
      <c r="P33" s="431">
        <f>SUM(B33:D33)</f>
        <v>0</v>
      </c>
      <c r="Q33" s="431">
        <f>SUM(FST!G183)-'TAB 5, LT Liabilities'!P33</f>
        <v>0</v>
      </c>
      <c r="R33" s="431"/>
      <c r="S33" s="218"/>
    </row>
    <row r="34" spans="1:19" ht="24" x14ac:dyDescent="0.2">
      <c r="A34" s="896" t="s">
        <v>1374</v>
      </c>
      <c r="B34" s="122"/>
      <c r="C34" s="122"/>
      <c r="D34" s="122"/>
      <c r="E34" s="214">
        <f>IF(SUM(B34:D34)=SUM(FST!G167,FST!G184),SUM(B34:D34),"ERROR")</f>
        <v>0</v>
      </c>
      <c r="F34" s="214">
        <f>FST!G167</f>
        <v>0</v>
      </c>
      <c r="G34" s="214"/>
      <c r="H34" s="214"/>
      <c r="I34" s="214"/>
      <c r="J34" s="214"/>
      <c r="P34" s="431">
        <f>SUM(B34:D34)</f>
        <v>0</v>
      </c>
      <c r="Q34" s="431">
        <f>SUM(FST!G167,FST!G184)-'TAB 5, LT Liabilities'!P34</f>
        <v>0</v>
      </c>
      <c r="R34" s="431"/>
      <c r="S34" s="218"/>
    </row>
    <row r="35" spans="1:19" ht="24" x14ac:dyDescent="0.2">
      <c r="A35" s="896" t="s">
        <v>1375</v>
      </c>
      <c r="B35" s="122"/>
      <c r="C35" s="122"/>
      <c r="D35" s="122"/>
      <c r="E35" s="214">
        <f>IF(SUM(B35:D35)=SUM(FST!G168,FST!G185),SUM(B35:D35),"ERROR")</f>
        <v>0</v>
      </c>
      <c r="F35" s="214">
        <f>FST!G168</f>
        <v>0</v>
      </c>
      <c r="G35" s="214"/>
      <c r="H35" s="214"/>
      <c r="I35" s="214"/>
      <c r="J35" s="214"/>
      <c r="P35" s="431">
        <f>SUM(B35:D35)</f>
        <v>0</v>
      </c>
      <c r="Q35" s="431">
        <f>SUM(FST!G168,FST!G185)-'TAB 5, LT Liabilities'!P35</f>
        <v>0</v>
      </c>
      <c r="R35" s="431"/>
      <c r="S35" s="218"/>
    </row>
    <row r="36" spans="1:19" x14ac:dyDescent="0.2">
      <c r="A36" s="213" t="s">
        <v>82</v>
      </c>
      <c r="B36" s="122"/>
      <c r="C36" s="122"/>
      <c r="D36" s="122"/>
      <c r="E36" s="214">
        <f>IF(SUM(B36:D36)=SUM(FST!G169,FST!G186),SUM(B36:D36),"ERROR")</f>
        <v>0</v>
      </c>
      <c r="F36" s="214">
        <f>FST!G169</f>
        <v>0</v>
      </c>
      <c r="G36" s="214"/>
      <c r="H36" s="214"/>
      <c r="I36" s="214"/>
      <c r="J36" s="214"/>
      <c r="P36" s="431">
        <f t="shared" si="3"/>
        <v>0</v>
      </c>
      <c r="Q36" s="431">
        <f>SUM(FST!G169,FST!G186)-'TAB 5, LT Liabilities'!P36</f>
        <v>0</v>
      </c>
      <c r="R36" s="431"/>
      <c r="S36" s="218"/>
    </row>
    <row r="37" spans="1:19" x14ac:dyDescent="0.2">
      <c r="A37" s="213" t="s">
        <v>807</v>
      </c>
      <c r="B37" s="280"/>
      <c r="C37" s="280"/>
      <c r="D37" s="280"/>
      <c r="E37" s="216"/>
      <c r="F37" s="216"/>
      <c r="G37" s="280"/>
      <c r="H37" s="280"/>
      <c r="I37" s="280"/>
      <c r="J37" s="280"/>
      <c r="P37" s="431"/>
      <c r="Q37" s="431"/>
      <c r="R37" s="431"/>
      <c r="S37" s="218"/>
    </row>
    <row r="38" spans="1:19" x14ac:dyDescent="0.2">
      <c r="A38" s="665"/>
      <c r="B38" s="122"/>
      <c r="C38" s="122"/>
      <c r="D38" s="122"/>
      <c r="E38" s="214">
        <f>SUM(B38:D38)</f>
        <v>0</v>
      </c>
      <c r="F38" s="122"/>
      <c r="G38" s="831"/>
      <c r="H38" s="831"/>
      <c r="I38" s="831"/>
      <c r="J38" s="864">
        <f>IF(E38=SUM(G38:I38),SUM(G38:I38),"ERROR")</f>
        <v>0</v>
      </c>
      <c r="P38" s="431"/>
      <c r="Q38" s="431"/>
      <c r="R38" s="431"/>
      <c r="S38" s="218"/>
    </row>
    <row r="39" spans="1:19" x14ac:dyDescent="0.2">
      <c r="A39" s="665"/>
      <c r="B39" s="122"/>
      <c r="C39" s="122"/>
      <c r="D39" s="122"/>
      <c r="E39" s="214">
        <f>SUM(B39:D39)</f>
        <v>0</v>
      </c>
      <c r="F39" s="122"/>
      <c r="G39" s="831"/>
      <c r="H39" s="831"/>
      <c r="I39" s="831"/>
      <c r="J39" s="864">
        <f>IF(E39=SUM(G39:I39),SUM(G39:I39),"ERROR")</f>
        <v>0</v>
      </c>
      <c r="P39" s="431"/>
      <c r="Q39" s="431"/>
      <c r="R39" s="431"/>
      <c r="S39" s="218"/>
    </row>
    <row r="40" spans="1:19" x14ac:dyDescent="0.2">
      <c r="A40" s="665"/>
      <c r="B40" s="122"/>
      <c r="C40" s="122"/>
      <c r="D40" s="122"/>
      <c r="E40" s="214">
        <f>SUM(B40:D40)</f>
        <v>0</v>
      </c>
      <c r="F40" s="122"/>
      <c r="G40" s="831"/>
      <c r="H40" s="831"/>
      <c r="I40" s="831"/>
      <c r="J40" s="864">
        <f>IF(E40=SUM(G40:I40),SUM(G40:I40),"ERROR")</f>
        <v>0</v>
      </c>
      <c r="P40" s="431"/>
      <c r="Q40" s="431"/>
      <c r="R40" s="431"/>
      <c r="S40" s="218"/>
    </row>
    <row r="41" spans="1:19" x14ac:dyDescent="0.2">
      <c r="A41" s="665"/>
      <c r="B41" s="122"/>
      <c r="C41" s="122"/>
      <c r="D41" s="122"/>
      <c r="E41" s="214">
        <f>SUM(B41:D41)</f>
        <v>0</v>
      </c>
      <c r="F41" s="122"/>
      <c r="G41" s="831"/>
      <c r="H41" s="831"/>
      <c r="I41" s="831"/>
      <c r="J41" s="864">
        <f>IF(E41=SUM(G41:I41),SUM(G41:I41),"ERROR")</f>
        <v>0</v>
      </c>
      <c r="P41" s="431"/>
      <c r="Q41" s="431"/>
      <c r="R41" s="431"/>
      <c r="S41" s="218"/>
    </row>
    <row r="42" spans="1:19" x14ac:dyDescent="0.2">
      <c r="A42" s="665"/>
      <c r="B42" s="122"/>
      <c r="C42" s="122"/>
      <c r="D42" s="122"/>
      <c r="E42" s="217">
        <f>SUM(B42:D42)</f>
        <v>0</v>
      </c>
      <c r="F42" s="122"/>
      <c r="G42" s="831"/>
      <c r="H42" s="831"/>
      <c r="I42" s="831"/>
      <c r="J42" s="864">
        <f>IF(E42=SUM(G42:I42),SUM(G42:I42),"ERROR")</f>
        <v>0</v>
      </c>
      <c r="P42" s="431"/>
      <c r="Q42" s="431"/>
      <c r="R42" s="431"/>
      <c r="S42" s="218"/>
    </row>
    <row r="43" spans="1:19" x14ac:dyDescent="0.2">
      <c r="A43" s="213" t="s">
        <v>604</v>
      </c>
      <c r="B43" s="214">
        <f>SUM(B38:B42)</f>
        <v>0</v>
      </c>
      <c r="C43" s="214">
        <f>SUM(C38:C42)</f>
        <v>0</v>
      </c>
      <c r="D43" s="214">
        <f>SUM(D38:D42)</f>
        <v>0</v>
      </c>
      <c r="E43" s="214">
        <f>IF(SUM(E38:E42)=SUM(FST!G170,FST!G187),SUM(E38:E42),"ERROR")</f>
        <v>0</v>
      </c>
      <c r="F43" s="214">
        <f>IF(SUM(F38:F42)=FST!G170,SUM(F38:F42),"ERROR")</f>
        <v>0</v>
      </c>
      <c r="G43" s="214"/>
      <c r="H43" s="214"/>
      <c r="I43" s="214"/>
      <c r="J43" s="214"/>
      <c r="P43" s="431">
        <f>SUM(E38:E42)</f>
        <v>0</v>
      </c>
      <c r="Q43" s="431">
        <f>SUM(FST!G170,FST!G187)-'TAB 5, LT Liabilities'!P43</f>
        <v>0</v>
      </c>
      <c r="R43" s="431">
        <f>SUM(F38:F42)</f>
        <v>0</v>
      </c>
      <c r="S43" s="431">
        <f>FST!G170-'TAB 5, LT Liabilities'!R43</f>
        <v>0</v>
      </c>
    </row>
    <row r="44" spans="1:19" ht="13.5" thickBot="1" x14ac:dyDescent="0.25">
      <c r="A44" s="77" t="s">
        <v>238</v>
      </c>
      <c r="B44" s="626">
        <f>SUM(B16:B19,B23,B28,B30:B36,B43)</f>
        <v>0</v>
      </c>
      <c r="C44" s="626">
        <f>SUM(C16:C19,C23,C28,C30:C36,C43)</f>
        <v>0</v>
      </c>
      <c r="D44" s="626">
        <f t="shared" ref="D44:F44" si="4">SUM(D16:D19,D23,D28,D30:D36,D43)</f>
        <v>0</v>
      </c>
      <c r="E44" s="626">
        <f>SUM(E16:E19,E23,E28,E30:E36,E43)</f>
        <v>0</v>
      </c>
      <c r="F44" s="626">
        <f t="shared" si="4"/>
        <v>0</v>
      </c>
      <c r="G44" s="862"/>
      <c r="H44" s="862"/>
      <c r="I44" s="862"/>
      <c r="J44" s="862"/>
      <c r="P44" s="431"/>
      <c r="Q44" s="431"/>
      <c r="R44" s="431"/>
    </row>
    <row r="45" spans="1:19" ht="41.25" customHeight="1" thickTop="1" x14ac:dyDescent="0.2">
      <c r="A45" s="1347" t="s">
        <v>1324</v>
      </c>
      <c r="B45" s="1347"/>
      <c r="C45" s="1347"/>
      <c r="D45" s="1347"/>
      <c r="E45" s="1347"/>
      <c r="F45" s="1347"/>
      <c r="G45" s="1347"/>
      <c r="H45" s="1347"/>
      <c r="I45" s="1347"/>
      <c r="L45" s="218"/>
      <c r="M45" s="218"/>
      <c r="N45" s="218"/>
    </row>
    <row r="46" spans="1:19" ht="54.75" customHeight="1" x14ac:dyDescent="0.2">
      <c r="A46" s="135"/>
      <c r="B46" s="644" t="s">
        <v>1757</v>
      </c>
      <c r="C46" s="137" t="s">
        <v>367</v>
      </c>
      <c r="D46" s="137" t="s">
        <v>368</v>
      </c>
      <c r="E46" s="644" t="s">
        <v>1751</v>
      </c>
      <c r="F46" s="137" t="s">
        <v>369</v>
      </c>
      <c r="L46" s="218"/>
      <c r="M46" s="218"/>
      <c r="N46" s="218"/>
    </row>
    <row r="47" spans="1:19" ht="34.5" customHeight="1" x14ac:dyDescent="0.2">
      <c r="A47" s="147" t="s">
        <v>253</v>
      </c>
      <c r="B47" s="520"/>
      <c r="C47" s="520"/>
      <c r="D47" s="520"/>
      <c r="E47" s="518">
        <f>IF(SUM(B47:D47)=SUM(FST!G153,FST!G154),SUM(B47:D47),"ERROR")</f>
        <v>0</v>
      </c>
      <c r="F47" s="518">
        <f>FST!G153</f>
        <v>0</v>
      </c>
      <c r="P47" s="431">
        <f>SUM(B47:D47)</f>
        <v>0</v>
      </c>
      <c r="Q47" s="431">
        <f>SUM(FST!G153,FST!G154)-'TAB 5, LT Liabilities'!P47</f>
        <v>0</v>
      </c>
      <c r="R47" s="218"/>
    </row>
    <row r="48" spans="1:19" ht="15.75" customHeight="1" x14ac:dyDescent="0.2">
      <c r="A48" s="135"/>
      <c r="B48" s="218"/>
      <c r="C48" s="218"/>
      <c r="D48" s="218"/>
      <c r="E48" s="218"/>
      <c r="F48" s="218"/>
      <c r="L48" s="218"/>
      <c r="M48" s="218"/>
      <c r="N48" s="218"/>
    </row>
    <row r="49" spans="1:12" ht="24.75" customHeight="1" x14ac:dyDescent="0.2">
      <c r="A49" s="1344" t="s">
        <v>104</v>
      </c>
      <c r="B49" s="1164"/>
      <c r="C49" s="1164"/>
      <c r="D49" s="1164"/>
      <c r="E49" s="1164"/>
      <c r="F49" s="1164"/>
    </row>
    <row r="50" spans="1:12" ht="108" customHeight="1" x14ac:dyDescent="0.2">
      <c r="A50" s="1353" t="str">
        <f>IF(E22=0,"","Answer Required")</f>
        <v/>
      </c>
      <c r="B50" s="1354"/>
      <c r="C50" s="1354"/>
      <c r="D50" s="1354"/>
      <c r="E50" s="1354"/>
      <c r="F50" s="1355"/>
    </row>
    <row r="51" spans="1:12" x14ac:dyDescent="0.2">
      <c r="A51" s="135"/>
    </row>
    <row r="52" spans="1:12" x14ac:dyDescent="0.2">
      <c r="A52" s="1344" t="s">
        <v>562</v>
      </c>
      <c r="B52" s="1164"/>
      <c r="C52" s="1164"/>
      <c r="D52" s="1164"/>
      <c r="E52" s="1164"/>
      <c r="F52" s="1164"/>
    </row>
    <row r="53" spans="1:12" ht="126.75" customHeight="1" x14ac:dyDescent="0.2">
      <c r="A53" s="1357" t="str">
        <f>IF(E47=0,"","Answer Required")</f>
        <v/>
      </c>
      <c r="B53" s="1322"/>
      <c r="C53" s="1322"/>
      <c r="D53" s="1322"/>
      <c r="E53" s="1322"/>
      <c r="F53" s="1323"/>
    </row>
    <row r="54" spans="1:12" x14ac:dyDescent="0.2">
      <c r="A54" s="135"/>
    </row>
    <row r="55" spans="1:12" x14ac:dyDescent="0.2">
      <c r="A55" s="135"/>
    </row>
    <row r="56" spans="1:12" x14ac:dyDescent="0.2">
      <c r="A56" s="135"/>
    </row>
    <row r="57" spans="1:12" ht="58.5" customHeight="1" x14ac:dyDescent="0.2">
      <c r="A57" s="377" t="s">
        <v>112</v>
      </c>
      <c r="B57" s="379"/>
      <c r="C57" s="379"/>
      <c r="D57" s="379"/>
      <c r="E57" s="379"/>
      <c r="F57" s="1345" t="s">
        <v>1245</v>
      </c>
      <c r="G57" s="1346"/>
      <c r="H57" s="805">
        <f>FST!E1</f>
        <v>0</v>
      </c>
      <c r="I57" s="438"/>
      <c r="J57" s="438"/>
      <c r="K57" s="438"/>
      <c r="L57" s="439"/>
    </row>
    <row r="58" spans="1:12" x14ac:dyDescent="0.2">
      <c r="A58" s="135"/>
      <c r="E58" s="136"/>
    </row>
    <row r="59" spans="1:12" ht="38.25" x14ac:dyDescent="0.2">
      <c r="A59" s="135"/>
      <c r="B59" s="644" t="s">
        <v>1758</v>
      </c>
      <c r="C59" s="137" t="s">
        <v>432</v>
      </c>
      <c r="D59" s="137" t="s">
        <v>806</v>
      </c>
    </row>
    <row r="60" spans="1:12" x14ac:dyDescent="0.2">
      <c r="A60" s="213" t="s">
        <v>578</v>
      </c>
      <c r="B60" s="281">
        <f>B16</f>
        <v>0</v>
      </c>
      <c r="C60" s="433" t="e">
        <f>HLOOKUP($H$57,'HEI-PY LT Liabilities'!$C$1:$W$30,2,FALSE)</f>
        <v>#N/A</v>
      </c>
      <c r="D60" s="433" t="e">
        <f>B60-C60</f>
        <v>#N/A</v>
      </c>
    </row>
    <row r="61" spans="1:12" ht="24" x14ac:dyDescent="0.2">
      <c r="A61" s="896" t="s">
        <v>1415</v>
      </c>
      <c r="B61" s="281">
        <f>B17</f>
        <v>0</v>
      </c>
      <c r="C61" s="433" t="e">
        <f>HLOOKUP($H$57,'HEI-PY LT Liabilities'!$C$1:$W$30,3,FALSE)</f>
        <v>#N/A</v>
      </c>
      <c r="D61" s="433" t="e">
        <f t="shared" ref="D61:D63" si="5">B61-C61</f>
        <v>#N/A</v>
      </c>
    </row>
    <row r="62" spans="1:12" ht="35.25" customHeight="1" x14ac:dyDescent="0.2">
      <c r="A62" s="896" t="s">
        <v>1587</v>
      </c>
      <c r="B62" s="281">
        <f>B18</f>
        <v>0</v>
      </c>
      <c r="C62" s="433" t="e">
        <f>HLOOKUP($H$57,'HEI-PY LT Liabilities'!$C$1:$W$30,4,FALSE)</f>
        <v>#N/A</v>
      </c>
      <c r="D62" s="433" t="e">
        <f t="shared" si="5"/>
        <v>#N/A</v>
      </c>
    </row>
    <row r="63" spans="1:12" ht="35.25" customHeight="1" x14ac:dyDescent="0.2">
      <c r="A63" s="896" t="s">
        <v>1703</v>
      </c>
      <c r="B63" s="281">
        <f>B19</f>
        <v>0</v>
      </c>
      <c r="C63" s="433" t="e">
        <f>HLOOKUP($H$57,'HEI-PY LT Liabilities'!$C$1:$W$30,5,FALSE)</f>
        <v>#N/A</v>
      </c>
      <c r="D63" s="433" t="e">
        <f t="shared" si="5"/>
        <v>#N/A</v>
      </c>
    </row>
    <row r="64" spans="1:12" x14ac:dyDescent="0.2">
      <c r="A64" s="896"/>
      <c r="B64" s="281"/>
      <c r="C64" s="433"/>
      <c r="D64" s="433"/>
    </row>
    <row r="65" spans="1:4" x14ac:dyDescent="0.2">
      <c r="A65" s="213" t="s">
        <v>664</v>
      </c>
      <c r="B65" s="281">
        <f>B21</f>
        <v>0</v>
      </c>
      <c r="C65" s="433" t="e">
        <f>HLOOKUP($H$57,'HEI-PY LT Liabilities'!$C$1:$W$30,6,FALSE)</f>
        <v>#N/A</v>
      </c>
      <c r="D65" s="433" t="e">
        <f>B65-C65</f>
        <v>#N/A</v>
      </c>
    </row>
    <row r="66" spans="1:4" ht="24" x14ac:dyDescent="0.2">
      <c r="A66" s="213" t="s">
        <v>157</v>
      </c>
      <c r="B66" s="281">
        <f>B22</f>
        <v>0</v>
      </c>
      <c r="C66" s="433" t="e">
        <f>HLOOKUP($H$57,'HEI-PY LT Liabilities'!$C$1:$W$30,7,FALSE)</f>
        <v>#N/A</v>
      </c>
      <c r="D66" s="433" t="e">
        <f>B66-C66</f>
        <v>#N/A</v>
      </c>
    </row>
    <row r="67" spans="1:4" x14ac:dyDescent="0.2">
      <c r="A67" s="213" t="s">
        <v>454</v>
      </c>
      <c r="B67" s="215">
        <f>SUM(B65:B66)</f>
        <v>0</v>
      </c>
      <c r="C67" s="435" t="e">
        <f>SUM(C65:C66)</f>
        <v>#N/A</v>
      </c>
      <c r="D67" s="435" t="e">
        <f>SUM(D65:D66)</f>
        <v>#N/A</v>
      </c>
    </row>
    <row r="68" spans="1:4" x14ac:dyDescent="0.2">
      <c r="A68" s="213"/>
      <c r="B68" s="214"/>
      <c r="C68" s="434"/>
      <c r="D68" s="434"/>
    </row>
    <row r="69" spans="1:4" ht="24" x14ac:dyDescent="0.2">
      <c r="A69" s="213" t="s">
        <v>83</v>
      </c>
      <c r="B69" s="281">
        <f>B25</f>
        <v>0</v>
      </c>
      <c r="C69" s="433" t="e">
        <f>HLOOKUP($H$57,'HEI-PY LT Liabilities'!$C$1:$W$30,10,FALSE)</f>
        <v>#N/A</v>
      </c>
      <c r="D69" s="433" t="e">
        <f>B69-C69</f>
        <v>#N/A</v>
      </c>
    </row>
    <row r="70" spans="1:4" ht="24" x14ac:dyDescent="0.2">
      <c r="A70" s="213" t="s">
        <v>84</v>
      </c>
      <c r="B70" s="281">
        <f>B26</f>
        <v>0</v>
      </c>
      <c r="C70" s="433" t="e">
        <f>HLOOKUP($H$57,'HEI-PY LT Liabilities'!$C$1:$W$30,11,FALSE)</f>
        <v>#N/A</v>
      </c>
      <c r="D70" s="433" t="e">
        <f>B70-C70</f>
        <v>#N/A</v>
      </c>
    </row>
    <row r="71" spans="1:4" ht="24" x14ac:dyDescent="0.2">
      <c r="A71" s="213" t="s">
        <v>161</v>
      </c>
      <c r="B71" s="281">
        <f>B27</f>
        <v>0</v>
      </c>
      <c r="C71" s="433" t="e">
        <f>HLOOKUP($H$57,'HEI-PY LT Liabilities'!$C$1:$W$30,12,FALSE)</f>
        <v>#N/A</v>
      </c>
      <c r="D71" s="433" t="e">
        <f>B71-C71</f>
        <v>#N/A</v>
      </c>
    </row>
    <row r="72" spans="1:4" x14ac:dyDescent="0.2">
      <c r="A72" s="213" t="s">
        <v>455</v>
      </c>
      <c r="B72" s="215">
        <f>SUM(B69:B71)</f>
        <v>0</v>
      </c>
      <c r="C72" s="435" t="e">
        <f>SUM(C69:C71)</f>
        <v>#N/A</v>
      </c>
      <c r="D72" s="435" t="e">
        <f>SUM(D69:D71)</f>
        <v>#N/A</v>
      </c>
    </row>
    <row r="73" spans="1:4" x14ac:dyDescent="0.2">
      <c r="A73" s="213"/>
      <c r="B73" s="214"/>
      <c r="C73" s="434"/>
      <c r="D73" s="434"/>
    </row>
    <row r="74" spans="1:4" x14ac:dyDescent="0.2">
      <c r="A74" s="213" t="s">
        <v>816</v>
      </c>
      <c r="B74" s="281">
        <f t="shared" ref="B74:B80" si="6">B30</f>
        <v>0</v>
      </c>
      <c r="C74" s="433" t="e">
        <f>HLOOKUP($H$57,'HEI-PY LT Liabilities'!$C$1:$W$30,15,FALSE)</f>
        <v>#N/A</v>
      </c>
      <c r="D74" s="433" t="e">
        <f t="shared" ref="D74:D80" si="7">B74-C74</f>
        <v>#N/A</v>
      </c>
    </row>
    <row r="75" spans="1:4" x14ac:dyDescent="0.2">
      <c r="A75" s="213" t="s">
        <v>716</v>
      </c>
      <c r="B75" s="281">
        <f t="shared" si="6"/>
        <v>0</v>
      </c>
      <c r="C75" s="433" t="e">
        <f>HLOOKUP($H$57,'HEI-PY LT Liabilities'!$C$1:$W$30,16,FALSE)</f>
        <v>#N/A</v>
      </c>
      <c r="D75" s="433" t="e">
        <f t="shared" si="7"/>
        <v>#N/A</v>
      </c>
    </row>
    <row r="76" spans="1:4" ht="24" x14ac:dyDescent="0.2">
      <c r="A76" s="896" t="s">
        <v>1588</v>
      </c>
      <c r="B76" s="281">
        <f t="shared" si="6"/>
        <v>0</v>
      </c>
      <c r="C76" s="433" t="e">
        <f>HLOOKUP($H$57,'HEI-PY LT Liabilities'!$C$1:$W$30,17,FALSE)</f>
        <v>#N/A</v>
      </c>
      <c r="D76" s="433" t="e">
        <f t="shared" ref="D76" si="8">B76-C76</f>
        <v>#N/A</v>
      </c>
    </row>
    <row r="77" spans="1:4" x14ac:dyDescent="0.2">
      <c r="A77" s="896" t="s">
        <v>1285</v>
      </c>
      <c r="B77" s="281">
        <f t="shared" si="6"/>
        <v>0</v>
      </c>
      <c r="C77" s="433" t="e">
        <f>HLOOKUP($H$57,'HEI-PY LT Liabilities'!$C$1:$W$30,18,FALSE)</f>
        <v>#N/A</v>
      </c>
      <c r="D77" s="433" t="e">
        <f t="shared" si="7"/>
        <v>#N/A</v>
      </c>
    </row>
    <row r="78" spans="1:4" ht="24" x14ac:dyDescent="0.2">
      <c r="A78" s="896" t="s">
        <v>1374</v>
      </c>
      <c r="B78" s="281">
        <f t="shared" si="6"/>
        <v>0</v>
      </c>
      <c r="C78" s="433" t="e">
        <f>HLOOKUP($H$57,'HEI-PY LT Liabilities'!$C$1:$W$30,19,FALSE)</f>
        <v>#N/A</v>
      </c>
      <c r="D78" s="433" t="e">
        <f t="shared" si="7"/>
        <v>#N/A</v>
      </c>
    </row>
    <row r="79" spans="1:4" ht="24" x14ac:dyDescent="0.2">
      <c r="A79" s="896" t="s">
        <v>1375</v>
      </c>
      <c r="B79" s="281">
        <f t="shared" si="6"/>
        <v>0</v>
      </c>
      <c r="C79" s="433" t="e">
        <f>HLOOKUP($H$57,'HEI-PY LT Liabilities'!$C$1:$W$30,20,FALSE)</f>
        <v>#N/A</v>
      </c>
      <c r="D79" s="433" t="e">
        <f t="shared" si="7"/>
        <v>#N/A</v>
      </c>
    </row>
    <row r="80" spans="1:4" x14ac:dyDescent="0.2">
      <c r="A80" s="213" t="s">
        <v>82</v>
      </c>
      <c r="B80" s="281">
        <f t="shared" si="6"/>
        <v>0</v>
      </c>
      <c r="C80" s="433" t="e">
        <f>HLOOKUP($H$57,'HEI-PY LT Liabilities'!$C$1:$W$30,21,FALSE)</f>
        <v>#N/A</v>
      </c>
      <c r="D80" s="433" t="e">
        <f t="shared" si="7"/>
        <v>#N/A</v>
      </c>
    </row>
    <row r="81" spans="1:14" x14ac:dyDescent="0.2">
      <c r="A81" s="213" t="s">
        <v>807</v>
      </c>
      <c r="B81" s="280"/>
      <c r="C81" s="436"/>
      <c r="D81" s="436"/>
    </row>
    <row r="82" spans="1:14" x14ac:dyDescent="0.2">
      <c r="A82" s="395">
        <f t="shared" ref="A82:B86" si="9">A38</f>
        <v>0</v>
      </c>
      <c r="B82" s="281">
        <f t="shared" si="9"/>
        <v>0</v>
      </c>
      <c r="C82" s="433"/>
      <c r="D82" s="433"/>
    </row>
    <row r="83" spans="1:14" x14ac:dyDescent="0.2">
      <c r="A83" s="395">
        <f t="shared" si="9"/>
        <v>0</v>
      </c>
      <c r="B83" s="281">
        <f t="shared" si="9"/>
        <v>0</v>
      </c>
      <c r="C83" s="433"/>
      <c r="D83" s="433"/>
    </row>
    <row r="84" spans="1:14" x14ac:dyDescent="0.2">
      <c r="A84" s="395">
        <f t="shared" si="9"/>
        <v>0</v>
      </c>
      <c r="B84" s="281">
        <f t="shared" si="9"/>
        <v>0</v>
      </c>
      <c r="C84" s="433"/>
      <c r="D84" s="433"/>
    </row>
    <row r="85" spans="1:14" x14ac:dyDescent="0.2">
      <c r="A85" s="395">
        <f t="shared" si="9"/>
        <v>0</v>
      </c>
      <c r="B85" s="281">
        <f t="shared" si="9"/>
        <v>0</v>
      </c>
      <c r="C85" s="433"/>
      <c r="D85" s="433"/>
    </row>
    <row r="86" spans="1:14" x14ac:dyDescent="0.2">
      <c r="A86" s="395">
        <f t="shared" si="9"/>
        <v>0</v>
      </c>
      <c r="B86" s="281">
        <f t="shared" si="9"/>
        <v>0</v>
      </c>
      <c r="C86" s="433"/>
      <c r="D86" s="433"/>
    </row>
    <row r="87" spans="1:14" x14ac:dyDescent="0.2">
      <c r="A87" s="213" t="s">
        <v>604</v>
      </c>
      <c r="B87" s="214">
        <f>SUM(B82:B86)</f>
        <v>0</v>
      </c>
      <c r="C87" s="433" t="e">
        <f>HLOOKUP($H$57,'HEI-PY LT Liabilities'!$C$1:$W$30,28,FALSE)</f>
        <v>#N/A</v>
      </c>
      <c r="D87" s="434" t="e">
        <f>B87-C87</f>
        <v>#N/A</v>
      </c>
    </row>
    <row r="88" spans="1:14" ht="13.5" thickBot="1" x14ac:dyDescent="0.25">
      <c r="A88" s="77" t="s">
        <v>238</v>
      </c>
      <c r="B88" s="626">
        <f>SUM(B60:B63,B67,B72,B74:B80,B87)</f>
        <v>0</v>
      </c>
      <c r="C88" s="1133" t="e">
        <f>SUM(C60:C63,C67,C72,C74:C80,C87)</f>
        <v>#N/A</v>
      </c>
      <c r="D88" s="1133" t="e">
        <f>SUM(D60:D63,D67,D72,D74:D80,D87)</f>
        <v>#N/A</v>
      </c>
    </row>
    <row r="89" spans="1:14" ht="13.5" thickTop="1" x14ac:dyDescent="0.2">
      <c r="A89" s="135"/>
      <c r="B89" s="218"/>
      <c r="C89" s="218"/>
      <c r="D89" s="218"/>
    </row>
    <row r="90" spans="1:14" x14ac:dyDescent="0.2">
      <c r="A90" s="77" t="s">
        <v>697</v>
      </c>
      <c r="B90" s="518">
        <f>B47</f>
        <v>0</v>
      </c>
      <c r="C90" s="433" t="e">
        <f>HLOOKUP($H$57,'HEI-PY LT Liabilities'!$C$1:$W$32,31,FALSE)</f>
        <v>#N/A</v>
      </c>
      <c r="D90" s="521" t="e">
        <f>B90-C90</f>
        <v>#N/A</v>
      </c>
    </row>
    <row r="91" spans="1:14" x14ac:dyDescent="0.2">
      <c r="A91" s="135"/>
    </row>
    <row r="92" spans="1:14" s="85" customFormat="1" ht="12.6" customHeight="1" x14ac:dyDescent="0.2">
      <c r="A92" s="219" t="s">
        <v>804</v>
      </c>
      <c r="D92" s="86"/>
      <c r="G92" s="86"/>
      <c r="K92" s="86"/>
      <c r="N92" s="86"/>
    </row>
    <row r="93" spans="1:14" s="85" customFormat="1" ht="99" customHeight="1" x14ac:dyDescent="0.2">
      <c r="A93" s="1307"/>
      <c r="B93" s="1308"/>
      <c r="C93" s="1308"/>
      <c r="D93" s="1308"/>
      <c r="E93" s="1308"/>
      <c r="F93" s="1309"/>
      <c r="G93" s="212"/>
      <c r="K93" s="212"/>
    </row>
    <row r="94" spans="1:14" x14ac:dyDescent="0.2">
      <c r="A94" s="135"/>
    </row>
    <row r="95" spans="1:14" x14ac:dyDescent="0.2">
      <c r="A95" s="135"/>
    </row>
    <row r="96" spans="1:14" x14ac:dyDescent="0.2">
      <c r="A96" s="135"/>
    </row>
    <row r="97" spans="1:10" s="141" customFormat="1" ht="14.1" customHeight="1" x14ac:dyDescent="0.2">
      <c r="A97" s="138" t="s">
        <v>393</v>
      </c>
      <c r="B97" s="134"/>
      <c r="C97" s="134"/>
      <c r="D97" s="134"/>
      <c r="E97" s="134"/>
      <c r="F97" s="134"/>
      <c r="I97" s="142"/>
      <c r="J97" s="142"/>
    </row>
    <row r="98" spans="1:10" s="141" customFormat="1" ht="14.1" customHeight="1" x14ac:dyDescent="0.2">
      <c r="A98" s="139" t="s">
        <v>666</v>
      </c>
      <c r="B98" s="139"/>
      <c r="C98" s="140"/>
      <c r="D98" s="140"/>
      <c r="I98" s="142"/>
      <c r="J98" s="142"/>
    </row>
    <row r="99" spans="1:10" s="141" customFormat="1" ht="14.1" customHeight="1" x14ac:dyDescent="0.2">
      <c r="A99" s="139" t="s">
        <v>1402</v>
      </c>
      <c r="B99" s="139"/>
      <c r="C99" s="140"/>
      <c r="D99" s="140"/>
      <c r="I99" s="142"/>
      <c r="J99" s="142"/>
    </row>
    <row r="100" spans="1:10" s="141" customFormat="1" ht="14.1" customHeight="1" x14ac:dyDescent="0.2">
      <c r="A100" s="139" t="s">
        <v>1754</v>
      </c>
      <c r="B100" s="139"/>
      <c r="C100" s="140"/>
      <c r="D100" s="140"/>
      <c r="I100" s="142"/>
      <c r="J100" s="142"/>
    </row>
    <row r="101" spans="1:10" s="141" customFormat="1" ht="14.1" customHeight="1" x14ac:dyDescent="0.2">
      <c r="A101" s="139" t="s">
        <v>324</v>
      </c>
      <c r="B101" s="139"/>
      <c r="C101" s="140"/>
      <c r="D101" s="140"/>
      <c r="I101" s="142"/>
      <c r="J101" s="142"/>
    </row>
    <row r="102" spans="1:10" s="141" customFormat="1" ht="25.5" customHeight="1" x14ac:dyDescent="0.2">
      <c r="A102" s="139" t="s">
        <v>1704</v>
      </c>
      <c r="B102" s="139"/>
      <c r="C102" s="140"/>
      <c r="D102" s="140"/>
      <c r="I102" s="142"/>
      <c r="J102" s="142"/>
    </row>
    <row r="103" spans="1:10" s="141" customFormat="1" ht="12" x14ac:dyDescent="0.2">
      <c r="A103" s="139" t="s">
        <v>1530</v>
      </c>
      <c r="B103" s="139"/>
      <c r="C103" s="140"/>
      <c r="D103" s="140"/>
      <c r="I103" s="142"/>
      <c r="J103" s="142"/>
    </row>
    <row r="104" spans="1:10" s="141" customFormat="1" ht="14.1" customHeight="1" x14ac:dyDescent="0.2">
      <c r="A104" s="139" t="s">
        <v>453</v>
      </c>
      <c r="B104" s="139"/>
      <c r="C104" s="140"/>
      <c r="D104" s="140"/>
      <c r="I104" s="142"/>
      <c r="J104" s="142"/>
    </row>
    <row r="105" spans="1:10" x14ac:dyDescent="0.2">
      <c r="A105" s="139"/>
      <c r="B105" s="139"/>
      <c r="C105" s="140"/>
      <c r="D105" s="140"/>
      <c r="E105" s="141"/>
      <c r="F105" s="141"/>
    </row>
    <row r="106" spans="1:10" x14ac:dyDescent="0.2">
      <c r="A106" s="135"/>
    </row>
    <row r="107" spans="1:10" x14ac:dyDescent="0.2">
      <c r="A107" s="135"/>
      <c r="B107" s="133"/>
    </row>
    <row r="108" spans="1:10" x14ac:dyDescent="0.2">
      <c r="A108" s="143" t="s">
        <v>370</v>
      </c>
      <c r="B108" s="144" t="s">
        <v>371</v>
      </c>
      <c r="C108" s="144" t="s">
        <v>372</v>
      </c>
      <c r="D108" s="144" t="s">
        <v>373</v>
      </c>
      <c r="F108" s="991" t="s">
        <v>1403</v>
      </c>
    </row>
    <row r="109" spans="1:10" x14ac:dyDescent="0.2">
      <c r="A109" s="522">
        <v>2025</v>
      </c>
      <c r="B109" s="523"/>
      <c r="C109" s="523"/>
      <c r="D109" s="123">
        <f>SUM(B109:C109)</f>
        <v>0</v>
      </c>
      <c r="F109" s="992">
        <f>F31-B109</f>
        <v>0</v>
      </c>
    </row>
    <row r="110" spans="1:10" x14ac:dyDescent="0.2">
      <c r="A110" s="522">
        <v>2026</v>
      </c>
      <c r="B110" s="523"/>
      <c r="C110" s="523"/>
      <c r="D110" s="123">
        <f t="shared" ref="D110:D123" si="10">SUM(B110:C110)</f>
        <v>0</v>
      </c>
    </row>
    <row r="111" spans="1:10" x14ac:dyDescent="0.2">
      <c r="A111" s="522">
        <v>2027</v>
      </c>
      <c r="B111" s="523"/>
      <c r="C111" s="523"/>
      <c r="D111" s="123">
        <f t="shared" si="10"/>
        <v>0</v>
      </c>
    </row>
    <row r="112" spans="1:10" x14ac:dyDescent="0.2">
      <c r="A112" s="522">
        <v>2028</v>
      </c>
      <c r="B112" s="523"/>
      <c r="C112" s="523"/>
      <c r="D112" s="123">
        <f t="shared" si="10"/>
        <v>0</v>
      </c>
    </row>
    <row r="113" spans="1:4" x14ac:dyDescent="0.2">
      <c r="A113" s="522">
        <v>2029</v>
      </c>
      <c r="B113" s="523"/>
      <c r="C113" s="523"/>
      <c r="D113" s="123">
        <f t="shared" si="10"/>
        <v>0</v>
      </c>
    </row>
    <row r="114" spans="1:4" x14ac:dyDescent="0.2">
      <c r="A114" s="645" t="s">
        <v>1741</v>
      </c>
      <c r="B114" s="523"/>
      <c r="C114" s="523"/>
      <c r="D114" s="123">
        <f t="shared" si="10"/>
        <v>0</v>
      </c>
    </row>
    <row r="115" spans="1:4" x14ac:dyDescent="0.2">
      <c r="A115" s="645" t="s">
        <v>1742</v>
      </c>
      <c r="B115" s="523"/>
      <c r="C115" s="523"/>
      <c r="D115" s="123">
        <f t="shared" si="10"/>
        <v>0</v>
      </c>
    </row>
    <row r="116" spans="1:4" x14ac:dyDescent="0.2">
      <c r="A116" s="645" t="s">
        <v>1743</v>
      </c>
      <c r="B116" s="523"/>
      <c r="C116" s="523"/>
      <c r="D116" s="123">
        <f t="shared" si="10"/>
        <v>0</v>
      </c>
    </row>
    <row r="117" spans="1:4" x14ac:dyDescent="0.2">
      <c r="A117" s="645" t="s">
        <v>1744</v>
      </c>
      <c r="B117" s="523"/>
      <c r="C117" s="523"/>
      <c r="D117" s="123">
        <f t="shared" si="10"/>
        <v>0</v>
      </c>
    </row>
    <row r="118" spans="1:4" x14ac:dyDescent="0.2">
      <c r="A118" s="645" t="s">
        <v>1745</v>
      </c>
      <c r="B118" s="523"/>
      <c r="C118" s="523"/>
      <c r="D118" s="123">
        <f t="shared" si="10"/>
        <v>0</v>
      </c>
    </row>
    <row r="119" spans="1:4" x14ac:dyDescent="0.2">
      <c r="A119" s="645" t="s">
        <v>1746</v>
      </c>
      <c r="B119" s="523"/>
      <c r="C119" s="523"/>
      <c r="D119" s="123">
        <f t="shared" si="10"/>
        <v>0</v>
      </c>
    </row>
    <row r="120" spans="1:4" x14ac:dyDescent="0.2">
      <c r="A120" s="645" t="s">
        <v>1747</v>
      </c>
      <c r="B120" s="523"/>
      <c r="C120" s="523"/>
      <c r="D120" s="123">
        <f t="shared" si="10"/>
        <v>0</v>
      </c>
    </row>
    <row r="121" spans="1:4" x14ac:dyDescent="0.2">
      <c r="A121" s="645" t="s">
        <v>1748</v>
      </c>
      <c r="B121" s="523"/>
      <c r="C121" s="523"/>
      <c r="D121" s="123">
        <f t="shared" si="10"/>
        <v>0</v>
      </c>
    </row>
    <row r="122" spans="1:4" x14ac:dyDescent="0.2">
      <c r="A122" s="645" t="s">
        <v>1749</v>
      </c>
      <c r="B122" s="523"/>
      <c r="C122" s="523"/>
      <c r="D122" s="123">
        <f t="shared" si="10"/>
        <v>0</v>
      </c>
    </row>
    <row r="123" spans="1:4" x14ac:dyDescent="0.2">
      <c r="A123" s="665"/>
      <c r="B123" s="523"/>
      <c r="C123" s="523"/>
      <c r="D123" s="123">
        <f t="shared" si="10"/>
        <v>0</v>
      </c>
    </row>
    <row r="124" spans="1:4" ht="13.5" thickBot="1" x14ac:dyDescent="0.25">
      <c r="A124" s="159" t="s">
        <v>373</v>
      </c>
      <c r="B124" s="437">
        <f>IF(SUM(B109:B123)=SUM(FST!G165,FST!G181),SUM(B109:B123),"ERROR")</f>
        <v>0</v>
      </c>
      <c r="C124" s="437">
        <f>SUM(C109:C123)</f>
        <v>0</v>
      </c>
      <c r="D124" s="437">
        <f>SUM(D109:D123)</f>
        <v>0</v>
      </c>
    </row>
    <row r="125" spans="1:4" ht="13.5" thickTop="1" x14ac:dyDescent="0.2">
      <c r="A125" s="524" t="s">
        <v>818</v>
      </c>
      <c r="B125" s="526">
        <f>SUM(B109:B123)</f>
        <v>0</v>
      </c>
    </row>
    <row r="126" spans="1:4" x14ac:dyDescent="0.2">
      <c r="A126" s="524" t="s">
        <v>690</v>
      </c>
      <c r="B126" s="431">
        <f>SUM(FST!G165,FST!G181)-'TAB 5, LT Liabilities'!B125</f>
        <v>0</v>
      </c>
    </row>
    <row r="127" spans="1:4" x14ac:dyDescent="0.2">
      <c r="A127" s="135"/>
    </row>
    <row r="128" spans="1:4" x14ac:dyDescent="0.2">
      <c r="A128" s="138" t="s">
        <v>1481</v>
      </c>
    </row>
    <row r="129" spans="1:8" x14ac:dyDescent="0.2">
      <c r="A129" s="135"/>
    </row>
    <row r="130" spans="1:8" x14ac:dyDescent="0.2">
      <c r="A130" s="143" t="s">
        <v>370</v>
      </c>
      <c r="B130" s="144" t="s">
        <v>371</v>
      </c>
      <c r="C130" s="144" t="s">
        <v>372</v>
      </c>
      <c r="D130" s="144" t="s">
        <v>373</v>
      </c>
      <c r="F130" s="991" t="s">
        <v>1403</v>
      </c>
    </row>
    <row r="131" spans="1:8" x14ac:dyDescent="0.2">
      <c r="A131" s="522">
        <v>2025</v>
      </c>
      <c r="B131" s="523"/>
      <c r="C131" s="523"/>
      <c r="D131" s="123">
        <f t="shared" ref="D131:D143" si="11">SUM(B131:C131)</f>
        <v>0</v>
      </c>
      <c r="F131" s="992">
        <f>F17-B131</f>
        <v>0</v>
      </c>
    </row>
    <row r="132" spans="1:8" x14ac:dyDescent="0.2">
      <c r="A132" s="522">
        <v>2026</v>
      </c>
      <c r="B132" s="523"/>
      <c r="C132" s="523"/>
      <c r="D132" s="123">
        <f t="shared" si="11"/>
        <v>0</v>
      </c>
    </row>
    <row r="133" spans="1:8" x14ac:dyDescent="0.2">
      <c r="A133" s="522">
        <v>2027</v>
      </c>
      <c r="B133" s="523"/>
      <c r="C133" s="523"/>
      <c r="D133" s="123">
        <f t="shared" si="11"/>
        <v>0</v>
      </c>
    </row>
    <row r="134" spans="1:8" x14ac:dyDescent="0.2">
      <c r="A134" s="522">
        <v>2028</v>
      </c>
      <c r="B134" s="523"/>
      <c r="C134" s="523"/>
      <c r="D134" s="123">
        <f t="shared" si="11"/>
        <v>0</v>
      </c>
    </row>
    <row r="135" spans="1:8" x14ac:dyDescent="0.2">
      <c r="A135" s="522">
        <v>2029</v>
      </c>
      <c r="B135" s="523"/>
      <c r="C135" s="523"/>
      <c r="D135" s="123">
        <f t="shared" si="11"/>
        <v>0</v>
      </c>
    </row>
    <row r="136" spans="1:8" x14ac:dyDescent="0.2">
      <c r="A136" s="645" t="s">
        <v>1741</v>
      </c>
      <c r="B136" s="523"/>
      <c r="C136" s="523"/>
      <c r="D136" s="123">
        <f t="shared" si="11"/>
        <v>0</v>
      </c>
    </row>
    <row r="137" spans="1:8" x14ac:dyDescent="0.2">
      <c r="A137" s="645" t="s">
        <v>1742</v>
      </c>
      <c r="B137" s="523"/>
      <c r="C137" s="523"/>
      <c r="D137" s="123">
        <f t="shared" si="11"/>
        <v>0</v>
      </c>
    </row>
    <row r="138" spans="1:8" x14ac:dyDescent="0.2">
      <c r="A138" s="645" t="s">
        <v>1743</v>
      </c>
      <c r="B138" s="523"/>
      <c r="C138" s="523"/>
      <c r="D138" s="123">
        <f t="shared" si="11"/>
        <v>0</v>
      </c>
    </row>
    <row r="139" spans="1:8" x14ac:dyDescent="0.2">
      <c r="A139" s="645" t="s">
        <v>1744</v>
      </c>
      <c r="B139" s="523"/>
      <c r="C139" s="523"/>
      <c r="D139" s="123">
        <f t="shared" si="11"/>
        <v>0</v>
      </c>
    </row>
    <row r="140" spans="1:8" x14ac:dyDescent="0.2">
      <c r="A140" s="645" t="s">
        <v>1745</v>
      </c>
      <c r="B140" s="523"/>
      <c r="C140" s="523"/>
      <c r="D140" s="123">
        <f t="shared" si="11"/>
        <v>0</v>
      </c>
    </row>
    <row r="141" spans="1:8" x14ac:dyDescent="0.2">
      <c r="A141" s="645" t="s">
        <v>1746</v>
      </c>
      <c r="B141" s="523"/>
      <c r="C141" s="523"/>
      <c r="D141" s="123">
        <f t="shared" si="11"/>
        <v>0</v>
      </c>
    </row>
    <row r="142" spans="1:8" x14ac:dyDescent="0.2">
      <c r="A142" s="645" t="s">
        <v>1747</v>
      </c>
      <c r="B142" s="523"/>
      <c r="C142" s="523"/>
      <c r="D142" s="123">
        <f t="shared" si="11"/>
        <v>0</v>
      </c>
    </row>
    <row r="143" spans="1:8" x14ac:dyDescent="0.2">
      <c r="A143" s="645" t="s">
        <v>1748</v>
      </c>
      <c r="B143" s="523"/>
      <c r="C143" s="523"/>
      <c r="D143" s="123">
        <f t="shared" si="11"/>
        <v>0</v>
      </c>
    </row>
    <row r="144" spans="1:8" ht="38.25" x14ac:dyDescent="0.2">
      <c r="A144" s="645" t="s">
        <v>1749</v>
      </c>
      <c r="B144" s="523"/>
      <c r="C144" s="523"/>
      <c r="D144" s="123">
        <f>SUM(B144:C144)</f>
        <v>0</v>
      </c>
      <c r="F144" s="644" t="s">
        <v>1268</v>
      </c>
      <c r="G144" s="644" t="s">
        <v>1269</v>
      </c>
      <c r="H144" s="709" t="s">
        <v>373</v>
      </c>
    </row>
    <row r="145" spans="1:14" hidden="1" x14ac:dyDescent="0.2">
      <c r="A145" s="1049"/>
      <c r="B145" s="1049"/>
      <c r="C145" s="1049"/>
      <c r="D145" s="1049"/>
      <c r="E145" s="1049"/>
      <c r="F145" s="527"/>
      <c r="G145" s="527"/>
      <c r="H145" s="218">
        <f>SUM(F145:G145)</f>
        <v>0</v>
      </c>
      <c r="I145" s="1049"/>
      <c r="J145" s="1049"/>
      <c r="K145" s="1049"/>
      <c r="L145" s="1049"/>
      <c r="M145" s="1049"/>
      <c r="N145" s="1049"/>
    </row>
    <row r="146" spans="1:14" ht="33" customHeight="1" thickBot="1" x14ac:dyDescent="0.25">
      <c r="A146" s="645" t="s">
        <v>373</v>
      </c>
      <c r="B146" s="437">
        <f>IF(SUM(B131:B145)=SUM(FST!G159,FST!G175),SUM(B131:B145),"ERROR")</f>
        <v>0</v>
      </c>
      <c r="C146" s="437">
        <f>SUM(C131:C145)</f>
        <v>0</v>
      </c>
      <c r="D146" s="437">
        <f>SUM(D131:D145)</f>
        <v>0</v>
      </c>
      <c r="F146" s="523"/>
      <c r="G146" s="523"/>
      <c r="H146" s="123">
        <f>IF(SUM(F146:G146)=B146,SUM(F146:G146),"Error")</f>
        <v>0</v>
      </c>
    </row>
    <row r="147" spans="1:14" ht="13.5" thickTop="1" x14ac:dyDescent="0.2">
      <c r="A147" s="524" t="s">
        <v>818</v>
      </c>
      <c r="B147" s="526">
        <f>SUM(B131:B145)</f>
        <v>0</v>
      </c>
    </row>
    <row r="148" spans="1:14" x14ac:dyDescent="0.2">
      <c r="A148" s="524" t="s">
        <v>690</v>
      </c>
      <c r="B148" s="431">
        <f>SUM(FST!G159,FST!G175)-'TAB 5, LT Liabilities'!B147</f>
        <v>0</v>
      </c>
    </row>
    <row r="149" spans="1:14" x14ac:dyDescent="0.2">
      <c r="A149" s="524"/>
      <c r="B149" s="431"/>
    </row>
    <row r="150" spans="1:14" ht="59.25" customHeight="1" x14ac:dyDescent="0.2">
      <c r="A150" s="1334" t="s">
        <v>1478</v>
      </c>
      <c r="B150" s="1334"/>
      <c r="C150" s="1334"/>
      <c r="D150" s="1334"/>
      <c r="E150" s="1334"/>
      <c r="F150" s="1334"/>
      <c r="G150" s="1026"/>
      <c r="H150" s="1027" t="s">
        <v>1038</v>
      </c>
    </row>
    <row r="151" spans="1:14" ht="83.25" customHeight="1" x14ac:dyDescent="0.2">
      <c r="A151" s="1335"/>
      <c r="B151" s="1336"/>
      <c r="C151" s="1336"/>
      <c r="D151" s="1336"/>
      <c r="E151" s="1336"/>
      <c r="F151" s="1337"/>
    </row>
    <row r="152" spans="1:14" ht="59.25" customHeight="1" x14ac:dyDescent="0.2">
      <c r="A152" s="1334" t="s">
        <v>1479</v>
      </c>
      <c r="B152" s="1334"/>
      <c r="C152" s="1334"/>
      <c r="D152" s="1334"/>
      <c r="E152" s="1334"/>
      <c r="F152" s="1334"/>
      <c r="G152" s="1026"/>
      <c r="H152" s="1027" t="s">
        <v>1038</v>
      </c>
    </row>
    <row r="153" spans="1:14" ht="83.25" customHeight="1" x14ac:dyDescent="0.2">
      <c r="A153" s="1335"/>
      <c r="B153" s="1336"/>
      <c r="C153" s="1336"/>
      <c r="D153" s="1336"/>
      <c r="E153" s="1336"/>
      <c r="F153" s="1337"/>
    </row>
    <row r="154" spans="1:14" s="511" customFormat="1" x14ac:dyDescent="0.2">
      <c r="A154" s="1022"/>
    </row>
    <row r="155" spans="1:14" s="511" customFormat="1" x14ac:dyDescent="0.2">
      <c r="A155" s="1361" t="s">
        <v>1602</v>
      </c>
      <c r="B155" s="1361"/>
      <c r="C155" s="1361"/>
      <c r="D155" s="1361"/>
    </row>
    <row r="156" spans="1:14" s="511" customFormat="1" x14ac:dyDescent="0.2">
      <c r="A156" s="138"/>
      <c r="C156" s="1017"/>
    </row>
    <row r="157" spans="1:14" s="511" customFormat="1" x14ac:dyDescent="0.2">
      <c r="A157" s="1016" t="s">
        <v>370</v>
      </c>
      <c r="B157" s="1017" t="s">
        <v>371</v>
      </c>
      <c r="C157" s="1017" t="s">
        <v>372</v>
      </c>
      <c r="D157" s="1017" t="s">
        <v>373</v>
      </c>
      <c r="E157" s="1018"/>
      <c r="F157" s="991" t="s">
        <v>1403</v>
      </c>
      <c r="G157" s="1018"/>
      <c r="H157" s="1018"/>
    </row>
    <row r="158" spans="1:14" s="511" customFormat="1" x14ac:dyDescent="0.2">
      <c r="A158" s="522">
        <v>2025</v>
      </c>
      <c r="B158" s="1019"/>
      <c r="C158" s="1019"/>
      <c r="D158" s="1020">
        <f>SUM(B158:C158)</f>
        <v>0</v>
      </c>
      <c r="E158" s="1023"/>
      <c r="F158" s="992">
        <f>F32-B158</f>
        <v>0</v>
      </c>
      <c r="G158" s="1018"/>
      <c r="H158" s="1018"/>
      <c r="I158" s="1018"/>
    </row>
    <row r="159" spans="1:14" s="511" customFormat="1" x14ac:dyDescent="0.2">
      <c r="A159" s="522">
        <v>2026</v>
      </c>
      <c r="B159" s="1019"/>
      <c r="C159" s="1019"/>
      <c r="D159" s="1020">
        <f>SUM(B159:C159)</f>
        <v>0</v>
      </c>
      <c r="E159" s="1018"/>
      <c r="F159" s="992"/>
      <c r="G159" s="1018"/>
      <c r="H159" s="1018"/>
      <c r="I159" s="1018"/>
    </row>
    <row r="160" spans="1:14" s="511" customFormat="1" x14ac:dyDescent="0.2">
      <c r="A160" s="522">
        <v>2027</v>
      </c>
      <c r="B160" s="1019"/>
      <c r="C160" s="1019"/>
      <c r="D160" s="1020">
        <f t="shared" ref="D160:D171" si="12">SUM(B160:C160)</f>
        <v>0</v>
      </c>
    </row>
    <row r="161" spans="1:12" s="511" customFormat="1" x14ac:dyDescent="0.2">
      <c r="A161" s="522">
        <v>2028</v>
      </c>
      <c r="B161" s="1019"/>
      <c r="C161" s="1019"/>
      <c r="D161" s="1020">
        <f t="shared" si="12"/>
        <v>0</v>
      </c>
    </row>
    <row r="162" spans="1:12" s="511" customFormat="1" x14ac:dyDescent="0.2">
      <c r="A162" s="522">
        <v>2029</v>
      </c>
      <c r="B162" s="1019"/>
      <c r="C162" s="1019"/>
      <c r="D162" s="1020">
        <f t="shared" si="12"/>
        <v>0</v>
      </c>
    </row>
    <row r="163" spans="1:12" s="511" customFormat="1" x14ac:dyDescent="0.2">
      <c r="A163" s="645" t="s">
        <v>1741</v>
      </c>
      <c r="B163" s="1019"/>
      <c r="C163" s="1019"/>
      <c r="D163" s="1020">
        <f t="shared" si="12"/>
        <v>0</v>
      </c>
    </row>
    <row r="164" spans="1:12" s="511" customFormat="1" x14ac:dyDescent="0.2">
      <c r="A164" s="645" t="s">
        <v>1742</v>
      </c>
      <c r="B164" s="1019"/>
      <c r="C164" s="1019"/>
      <c r="D164" s="1020">
        <f t="shared" si="12"/>
        <v>0</v>
      </c>
    </row>
    <row r="165" spans="1:12" s="511" customFormat="1" x14ac:dyDescent="0.2">
      <c r="A165" s="645" t="s">
        <v>1743</v>
      </c>
      <c r="B165" s="1019"/>
      <c r="C165" s="1019"/>
      <c r="D165" s="1020">
        <f t="shared" si="12"/>
        <v>0</v>
      </c>
    </row>
    <row r="166" spans="1:12" s="511" customFormat="1" x14ac:dyDescent="0.2">
      <c r="A166" s="645" t="s">
        <v>1744</v>
      </c>
      <c r="B166" s="1019"/>
      <c r="C166" s="1019"/>
      <c r="D166" s="1020">
        <f t="shared" si="12"/>
        <v>0</v>
      </c>
    </row>
    <row r="167" spans="1:12" s="511" customFormat="1" x14ac:dyDescent="0.2">
      <c r="A167" s="645" t="s">
        <v>1745</v>
      </c>
      <c r="B167" s="1019"/>
      <c r="C167" s="1019"/>
      <c r="D167" s="1020">
        <f t="shared" si="12"/>
        <v>0</v>
      </c>
    </row>
    <row r="168" spans="1:12" s="511" customFormat="1" x14ac:dyDescent="0.2">
      <c r="A168" s="645" t="s">
        <v>1746</v>
      </c>
      <c r="B168" s="1019"/>
      <c r="C168" s="1019"/>
      <c r="D168" s="1020">
        <f t="shared" si="12"/>
        <v>0</v>
      </c>
    </row>
    <row r="169" spans="1:12" s="511" customFormat="1" x14ac:dyDescent="0.2">
      <c r="A169" s="645" t="s">
        <v>1747</v>
      </c>
      <c r="B169" s="1019"/>
      <c r="C169" s="1019"/>
      <c r="D169" s="1020">
        <f t="shared" si="12"/>
        <v>0</v>
      </c>
    </row>
    <row r="170" spans="1:12" s="511" customFormat="1" x14ac:dyDescent="0.2">
      <c r="A170" s="645" t="s">
        <v>1748</v>
      </c>
      <c r="B170" s="1019"/>
      <c r="C170" s="1019"/>
      <c r="D170" s="1020">
        <f t="shared" si="12"/>
        <v>0</v>
      </c>
    </row>
    <row r="171" spans="1:12" s="511" customFormat="1" ht="42.6" customHeight="1" x14ac:dyDescent="0.2">
      <c r="A171" s="645" t="s">
        <v>1749</v>
      </c>
      <c r="B171" s="1019"/>
      <c r="C171" s="1019"/>
      <c r="D171" s="1020">
        <f t="shared" si="12"/>
        <v>0</v>
      </c>
    </row>
    <row r="172" spans="1:12" hidden="1" x14ac:dyDescent="0.2">
      <c r="A172" s="511"/>
      <c r="B172" s="511"/>
      <c r="C172" s="511"/>
      <c r="D172" s="511"/>
      <c r="E172" s="511"/>
      <c r="F172" s="511"/>
      <c r="G172" s="511"/>
      <c r="H172" s="511"/>
      <c r="I172" s="511"/>
      <c r="J172" s="511"/>
      <c r="K172" s="511"/>
      <c r="L172" s="511"/>
    </row>
    <row r="173" spans="1:12" s="511" customFormat="1" ht="32.450000000000003" customHeight="1" thickBot="1" x14ac:dyDescent="0.25">
      <c r="A173" s="1016" t="s">
        <v>373</v>
      </c>
      <c r="B173" s="437">
        <f>IF(SUM(B158:B171)=SUM(FST!G166,FST!G182),SUM(B158:B171),"ERROR")</f>
        <v>0</v>
      </c>
      <c r="C173" s="1021">
        <f>SUM(C158:C171)</f>
        <v>0</v>
      </c>
      <c r="D173" s="1021">
        <f>SUM(D158:D171)</f>
        <v>0</v>
      </c>
    </row>
    <row r="174" spans="1:12" ht="13.5" thickTop="1" x14ac:dyDescent="0.2">
      <c r="A174" s="524" t="s">
        <v>818</v>
      </c>
      <c r="B174" s="526">
        <f>SUM(B158:B171)</f>
        <v>0</v>
      </c>
      <c r="C174" s="526"/>
    </row>
    <row r="175" spans="1:12" x14ac:dyDescent="0.2">
      <c r="A175" s="524" t="s">
        <v>690</v>
      </c>
      <c r="B175" s="431">
        <f>SUM(FST!G166,FST!G182)-'TAB 5, LT Liabilities'!B174</f>
        <v>0</v>
      </c>
      <c r="C175" s="526"/>
    </row>
    <row r="176" spans="1:12" x14ac:dyDescent="0.2">
      <c r="A176" s="524"/>
      <c r="B176" s="431"/>
      <c r="C176" s="526"/>
    </row>
    <row r="177" spans="1:17" s="646" customFormat="1" x14ac:dyDescent="0.2">
      <c r="A177" s="138" t="s">
        <v>1591</v>
      </c>
      <c r="B177" s="138"/>
      <c r="C177" s="138"/>
      <c r="D177" s="138"/>
      <c r="E177" s="511"/>
      <c r="F177" s="511"/>
      <c r="G177" s="511"/>
      <c r="H177" s="511"/>
      <c r="J177" s="138" t="s">
        <v>1592</v>
      </c>
      <c r="K177" s="138"/>
      <c r="L177" s="138"/>
      <c r="M177" s="138"/>
      <c r="N177" s="511"/>
      <c r="O177" s="511"/>
      <c r="P177" s="511"/>
      <c r="Q177" s="511"/>
    </row>
    <row r="178" spans="1:17" s="646" customFormat="1" x14ac:dyDescent="0.2">
      <c r="A178" s="138"/>
      <c r="B178" s="511"/>
      <c r="C178" s="1017"/>
      <c r="D178" s="511"/>
      <c r="E178" s="511"/>
      <c r="F178" s="511"/>
      <c r="G178" s="511"/>
      <c r="H178" s="511"/>
      <c r="J178" s="138"/>
      <c r="K178" s="511"/>
      <c r="L178" s="1017"/>
      <c r="M178" s="511"/>
      <c r="N178" s="511"/>
      <c r="O178" s="511"/>
      <c r="P178" s="511"/>
      <c r="Q178" s="511"/>
    </row>
    <row r="179" spans="1:17" s="646" customFormat="1" x14ac:dyDescent="0.2">
      <c r="A179" s="1016" t="s">
        <v>370</v>
      </c>
      <c r="B179" s="1017" t="s">
        <v>371</v>
      </c>
      <c r="C179" s="1017" t="s">
        <v>372</v>
      </c>
      <c r="D179" s="1017" t="s">
        <v>373</v>
      </c>
      <c r="E179" s="1018"/>
      <c r="F179" s="991" t="s">
        <v>1403</v>
      </c>
      <c r="G179" s="1018"/>
      <c r="H179" s="1018"/>
      <c r="J179" s="1016" t="s">
        <v>370</v>
      </c>
      <c r="K179" s="1017" t="s">
        <v>371</v>
      </c>
      <c r="L179" s="1017" t="s">
        <v>372</v>
      </c>
      <c r="M179" s="1017" t="s">
        <v>373</v>
      </c>
      <c r="N179" s="1018"/>
      <c r="O179" s="991" t="s">
        <v>1403</v>
      </c>
      <c r="P179" s="1018"/>
      <c r="Q179" s="1018"/>
    </row>
    <row r="180" spans="1:17" s="646" customFormat="1" x14ac:dyDescent="0.2">
      <c r="A180" s="522">
        <v>2025</v>
      </c>
      <c r="B180" s="1089"/>
      <c r="C180" s="1089"/>
      <c r="D180" s="1090">
        <f>SUM(B180:C180)</f>
        <v>0</v>
      </c>
      <c r="E180" s="1023"/>
      <c r="F180" s="992">
        <f>F19-B180</f>
        <v>0</v>
      </c>
      <c r="G180" s="1018"/>
      <c r="H180" s="1018"/>
      <c r="J180" s="522">
        <v>2025</v>
      </c>
      <c r="K180" s="1089"/>
      <c r="L180" s="1089"/>
      <c r="M180" s="1090">
        <f>SUM(K180:L180)</f>
        <v>0</v>
      </c>
      <c r="N180" s="1023"/>
      <c r="O180" s="992">
        <f>F18-K180</f>
        <v>0</v>
      </c>
      <c r="P180" s="1018"/>
      <c r="Q180" s="1018"/>
    </row>
    <row r="181" spans="1:17" s="646" customFormat="1" x14ac:dyDescent="0.2">
      <c r="A181" s="522">
        <v>2026</v>
      </c>
      <c r="B181" s="1089"/>
      <c r="C181" s="1089"/>
      <c r="D181" s="1090">
        <f>SUM(B181:C181)</f>
        <v>0</v>
      </c>
      <c r="E181" s="1018"/>
      <c r="F181" s="992"/>
      <c r="G181" s="1018"/>
      <c r="H181" s="1018"/>
      <c r="J181" s="522">
        <v>2026</v>
      </c>
      <c r="K181" s="1089"/>
      <c r="L181" s="1089"/>
      <c r="M181" s="1090">
        <f>SUM(K181:L181)</f>
        <v>0</v>
      </c>
      <c r="N181" s="1018"/>
      <c r="O181" s="992"/>
      <c r="P181" s="1018"/>
      <c r="Q181" s="1018"/>
    </row>
    <row r="182" spans="1:17" s="646" customFormat="1" x14ac:dyDescent="0.2">
      <c r="A182" s="522">
        <v>2027</v>
      </c>
      <c r="B182" s="1089"/>
      <c r="C182" s="1089"/>
      <c r="D182" s="1090">
        <f t="shared" ref="D182:D193" si="13">SUM(B182:C182)</f>
        <v>0</v>
      </c>
      <c r="E182" s="511"/>
      <c r="F182" s="511"/>
      <c r="G182" s="511"/>
      <c r="H182" s="511"/>
      <c r="J182" s="522">
        <v>2027</v>
      </c>
      <c r="K182" s="1089"/>
      <c r="L182" s="1089"/>
      <c r="M182" s="1090">
        <f t="shared" ref="M182:M193" si="14">SUM(K182:L182)</f>
        <v>0</v>
      </c>
      <c r="N182" s="511"/>
      <c r="O182" s="511"/>
      <c r="P182" s="511"/>
      <c r="Q182" s="511"/>
    </row>
    <row r="183" spans="1:17" s="646" customFormat="1" x14ac:dyDescent="0.2">
      <c r="A183" s="522">
        <v>2028</v>
      </c>
      <c r="B183" s="1089"/>
      <c r="C183" s="1089"/>
      <c r="D183" s="1090">
        <f t="shared" si="13"/>
        <v>0</v>
      </c>
      <c r="E183" s="511"/>
      <c r="F183" s="511"/>
      <c r="G183" s="511"/>
      <c r="H183" s="511"/>
      <c r="J183" s="522">
        <v>2028</v>
      </c>
      <c r="K183" s="1089"/>
      <c r="L183" s="1089"/>
      <c r="M183" s="1090">
        <f t="shared" si="14"/>
        <v>0</v>
      </c>
      <c r="N183" s="511"/>
      <c r="O183" s="511"/>
      <c r="P183" s="511"/>
      <c r="Q183" s="511"/>
    </row>
    <row r="184" spans="1:17" s="646" customFormat="1" x14ac:dyDescent="0.2">
      <c r="A184" s="522">
        <v>2029</v>
      </c>
      <c r="B184" s="1089"/>
      <c r="C184" s="1089"/>
      <c r="D184" s="1090">
        <f t="shared" si="13"/>
        <v>0</v>
      </c>
      <c r="E184" s="511"/>
      <c r="F184" s="511"/>
      <c r="G184" s="511"/>
      <c r="H184" s="511"/>
      <c r="J184" s="522">
        <v>2029</v>
      </c>
      <c r="K184" s="1089"/>
      <c r="L184" s="1089"/>
      <c r="M184" s="1090">
        <f t="shared" si="14"/>
        <v>0</v>
      </c>
      <c r="N184" s="511"/>
      <c r="O184" s="511"/>
      <c r="P184" s="511"/>
      <c r="Q184" s="511"/>
    </row>
    <row r="185" spans="1:17" s="646" customFormat="1" x14ac:dyDescent="0.2">
      <c r="A185" s="645" t="s">
        <v>1741</v>
      </c>
      <c r="B185" s="1089"/>
      <c r="C185" s="1089"/>
      <c r="D185" s="1090">
        <f>SUM(B185:C185)</f>
        <v>0</v>
      </c>
      <c r="E185" s="511"/>
      <c r="F185" s="511"/>
      <c r="G185" s="511"/>
      <c r="H185" s="511"/>
      <c r="J185" s="645" t="s">
        <v>1741</v>
      </c>
      <c r="K185" s="1089"/>
      <c r="L185" s="1089"/>
      <c r="M185" s="1090">
        <f t="shared" si="14"/>
        <v>0</v>
      </c>
      <c r="N185" s="511"/>
      <c r="O185" s="511"/>
      <c r="P185" s="511"/>
      <c r="Q185" s="511"/>
    </row>
    <row r="186" spans="1:17" s="646" customFormat="1" x14ac:dyDescent="0.2">
      <c r="A186" s="645" t="s">
        <v>1742</v>
      </c>
      <c r="B186" s="1089"/>
      <c r="C186" s="1089"/>
      <c r="D186" s="1090">
        <f t="shared" si="13"/>
        <v>0</v>
      </c>
      <c r="E186" s="511"/>
      <c r="F186" s="511"/>
      <c r="G186" s="511"/>
      <c r="H186" s="511"/>
      <c r="J186" s="645" t="s">
        <v>1742</v>
      </c>
      <c r="K186" s="1089"/>
      <c r="L186" s="1089"/>
      <c r="M186" s="1090">
        <f t="shared" si="14"/>
        <v>0</v>
      </c>
      <c r="N186" s="511"/>
      <c r="O186" s="511"/>
      <c r="P186" s="511"/>
      <c r="Q186" s="511"/>
    </row>
    <row r="187" spans="1:17" s="646" customFormat="1" x14ac:dyDescent="0.2">
      <c r="A187" s="645" t="s">
        <v>1743</v>
      </c>
      <c r="B187" s="1089"/>
      <c r="C187" s="1089"/>
      <c r="D187" s="1090">
        <f t="shared" si="13"/>
        <v>0</v>
      </c>
      <c r="E187" s="511"/>
      <c r="F187" s="511"/>
      <c r="G187" s="511"/>
      <c r="H187" s="511"/>
      <c r="J187" s="645" t="s">
        <v>1743</v>
      </c>
      <c r="K187" s="1089"/>
      <c r="L187" s="1089"/>
      <c r="M187" s="1090">
        <f>SUM(K187:L187)</f>
        <v>0</v>
      </c>
      <c r="N187" s="511"/>
      <c r="O187" s="511"/>
      <c r="P187" s="511"/>
      <c r="Q187" s="511"/>
    </row>
    <row r="188" spans="1:17" s="646" customFormat="1" x14ac:dyDescent="0.2">
      <c r="A188" s="645" t="s">
        <v>1744</v>
      </c>
      <c r="B188" s="1089"/>
      <c r="C188" s="1089"/>
      <c r="D188" s="1090">
        <f t="shared" si="13"/>
        <v>0</v>
      </c>
      <c r="E188" s="511"/>
      <c r="F188" s="511"/>
      <c r="G188" s="511"/>
      <c r="H188" s="511"/>
      <c r="J188" s="645" t="s">
        <v>1744</v>
      </c>
      <c r="K188" s="1089"/>
      <c r="L188" s="1089"/>
      <c r="M188" s="1090">
        <f t="shared" si="14"/>
        <v>0</v>
      </c>
      <c r="N188" s="511"/>
      <c r="O188" s="511"/>
      <c r="P188" s="511"/>
      <c r="Q188" s="511"/>
    </row>
    <row r="189" spans="1:17" s="646" customFormat="1" x14ac:dyDescent="0.2">
      <c r="A189" s="645" t="s">
        <v>1745</v>
      </c>
      <c r="B189" s="1089"/>
      <c r="C189" s="1089"/>
      <c r="D189" s="1090">
        <f t="shared" si="13"/>
        <v>0</v>
      </c>
      <c r="E189" s="511"/>
      <c r="F189" s="511"/>
      <c r="G189" s="511"/>
      <c r="H189" s="511"/>
      <c r="J189" s="645" t="s">
        <v>1745</v>
      </c>
      <c r="K189" s="1089"/>
      <c r="L189" s="1089"/>
      <c r="M189" s="1090">
        <f t="shared" si="14"/>
        <v>0</v>
      </c>
      <c r="N189" s="511"/>
      <c r="O189" s="511"/>
      <c r="P189" s="511"/>
      <c r="Q189" s="511"/>
    </row>
    <row r="190" spans="1:17" s="646" customFormat="1" x14ac:dyDescent="0.2">
      <c r="A190" s="645" t="s">
        <v>1746</v>
      </c>
      <c r="B190" s="1089"/>
      <c r="C190" s="1089"/>
      <c r="D190" s="1090">
        <f t="shared" si="13"/>
        <v>0</v>
      </c>
      <c r="E190" s="511"/>
      <c r="F190" s="511"/>
      <c r="G190" s="511"/>
      <c r="H190" s="511"/>
      <c r="J190" s="645" t="s">
        <v>1746</v>
      </c>
      <c r="K190" s="1089"/>
      <c r="L190" s="1089"/>
      <c r="M190" s="1090">
        <f t="shared" si="14"/>
        <v>0</v>
      </c>
      <c r="N190" s="511"/>
      <c r="O190" s="511"/>
      <c r="P190" s="511"/>
      <c r="Q190" s="511"/>
    </row>
    <row r="191" spans="1:17" s="646" customFormat="1" x14ac:dyDescent="0.2">
      <c r="A191" s="645" t="s">
        <v>1747</v>
      </c>
      <c r="B191" s="1089"/>
      <c r="C191" s="1089"/>
      <c r="D191" s="1090">
        <f t="shared" si="13"/>
        <v>0</v>
      </c>
      <c r="E191" s="511"/>
      <c r="F191" s="511"/>
      <c r="G191" s="511"/>
      <c r="H191" s="511"/>
      <c r="J191" s="645" t="s">
        <v>1747</v>
      </c>
      <c r="K191" s="1089"/>
      <c r="L191" s="1089"/>
      <c r="M191" s="1090">
        <f t="shared" si="14"/>
        <v>0</v>
      </c>
      <c r="N191" s="511"/>
      <c r="O191" s="511"/>
      <c r="P191" s="511"/>
      <c r="Q191" s="511"/>
    </row>
    <row r="192" spans="1:17" s="646" customFormat="1" x14ac:dyDescent="0.2">
      <c r="A192" s="645" t="s">
        <v>1748</v>
      </c>
      <c r="B192" s="1089"/>
      <c r="C192" s="1089"/>
      <c r="D192" s="1090">
        <f t="shared" si="13"/>
        <v>0</v>
      </c>
      <c r="E192" s="511"/>
      <c r="F192" s="511"/>
      <c r="G192" s="511"/>
      <c r="H192" s="511"/>
      <c r="J192" s="645" t="s">
        <v>1748</v>
      </c>
      <c r="K192" s="1089"/>
      <c r="L192" s="1089"/>
      <c r="M192" s="1090">
        <f t="shared" si="14"/>
        <v>0</v>
      </c>
      <c r="N192" s="511"/>
      <c r="O192" s="511"/>
      <c r="P192" s="511"/>
      <c r="Q192" s="511"/>
    </row>
    <row r="193" spans="1:17" s="646" customFormat="1" ht="38.25" x14ac:dyDescent="0.2">
      <c r="A193" s="645" t="s">
        <v>1749</v>
      </c>
      <c r="B193" s="1089"/>
      <c r="C193" s="1089"/>
      <c r="D193" s="1090">
        <f t="shared" si="13"/>
        <v>0</v>
      </c>
      <c r="E193" s="511"/>
      <c r="F193" s="644" t="s">
        <v>1268</v>
      </c>
      <c r="G193" s="644" t="s">
        <v>1269</v>
      </c>
      <c r="H193" s="709" t="s">
        <v>373</v>
      </c>
      <c r="J193" s="645" t="s">
        <v>1749</v>
      </c>
      <c r="K193" s="1089"/>
      <c r="L193" s="1089"/>
      <c r="M193" s="1090">
        <f t="shared" si="14"/>
        <v>0</v>
      </c>
      <c r="N193" s="511"/>
      <c r="O193" s="644" t="s">
        <v>1268</v>
      </c>
      <c r="P193" s="644" t="s">
        <v>1269</v>
      </c>
      <c r="Q193" s="709" t="s">
        <v>373</v>
      </c>
    </row>
    <row r="194" spans="1:17" s="646" customFormat="1" ht="13.5" thickBot="1" x14ac:dyDescent="0.25">
      <c r="A194" s="1016" t="s">
        <v>373</v>
      </c>
      <c r="B194" s="1091">
        <f>IF(SUM(B180:B193)=SUM(FST!G161,FST!G177),SUM(B180:B193),"ERROR")</f>
        <v>0</v>
      </c>
      <c r="C194" s="1091">
        <f>SUM(C180:C193)</f>
        <v>0</v>
      </c>
      <c r="D194" s="1091">
        <f>SUM(D180:D193)</f>
        <v>0</v>
      </c>
      <c r="E194" s="511"/>
      <c r="F194" s="1089"/>
      <c r="G194" s="1089"/>
      <c r="H194" s="1090">
        <f>IF(SUM(F194:G194)=B194,SUM(F194:G194),"Error")</f>
        <v>0</v>
      </c>
      <c r="J194" s="1016" t="s">
        <v>373</v>
      </c>
      <c r="K194" s="1091">
        <f>IF(SUM(K180:K193)=SUM(FST!G160,FST!G176),SUM(K180:K193),"Error")</f>
        <v>0</v>
      </c>
      <c r="L194" s="1091">
        <f>SUM(L180:L193)</f>
        <v>0</v>
      </c>
      <c r="M194" s="1091">
        <f>SUM(M180:M193)</f>
        <v>0</v>
      </c>
      <c r="N194" s="511"/>
      <c r="O194" s="1089"/>
      <c r="P194" s="1089"/>
      <c r="Q194" s="1090">
        <f>IF(SUM(O194:P194)=K194,SUM(O194:P194),"Error")</f>
        <v>0</v>
      </c>
    </row>
    <row r="195" spans="1:17" s="646" customFormat="1" ht="13.5" thickTop="1" x14ac:dyDescent="0.2">
      <c r="A195" s="524" t="s">
        <v>818</v>
      </c>
      <c r="B195" s="526">
        <f>SUM(B180:B193)</f>
        <v>0</v>
      </c>
      <c r="C195" s="526"/>
      <c r="J195" s="524" t="s">
        <v>818</v>
      </c>
      <c r="K195" s="526">
        <f>SUM(K180:K193)</f>
        <v>0</v>
      </c>
      <c r="L195" s="526"/>
    </row>
    <row r="196" spans="1:17" s="646" customFormat="1" x14ac:dyDescent="0.2">
      <c r="A196" s="524" t="s">
        <v>690</v>
      </c>
      <c r="B196" s="431">
        <f>SUM(FST!G161,FST!G177)-'TAB 5, LT Liabilities'!B195</f>
        <v>0</v>
      </c>
      <c r="C196" s="526"/>
      <c r="J196" s="524" t="s">
        <v>690</v>
      </c>
      <c r="K196" s="431">
        <f>SUM(FST!G160,FST!G176)-'TAB 5, LT Liabilities'!K195</f>
        <v>0</v>
      </c>
      <c r="L196" s="526"/>
    </row>
    <row r="197" spans="1:17" s="646" customFormat="1" x14ac:dyDescent="0.2">
      <c r="A197" s="524"/>
      <c r="B197" s="431"/>
      <c r="C197" s="526"/>
    </row>
    <row r="198" spans="1:17" s="646" customFormat="1" ht="56.25" customHeight="1" x14ac:dyDescent="0.2">
      <c r="A198" s="1334" t="s">
        <v>1593</v>
      </c>
      <c r="B198" s="1334"/>
      <c r="C198" s="1334"/>
      <c r="D198" s="1334"/>
      <c r="E198" s="1334"/>
      <c r="F198" s="1334"/>
      <c r="G198" s="1026"/>
      <c r="H198" s="1027" t="s">
        <v>1038</v>
      </c>
      <c r="J198" s="1334" t="s">
        <v>1594</v>
      </c>
      <c r="K198" s="1334"/>
      <c r="L198" s="1334"/>
      <c r="M198" s="1334"/>
      <c r="N198" s="1334"/>
      <c r="O198" s="1334"/>
      <c r="Q198" s="1027" t="s">
        <v>1038</v>
      </c>
    </row>
    <row r="199" spans="1:17" s="646" customFormat="1" ht="51.75" customHeight="1" x14ac:dyDescent="0.2">
      <c r="A199" s="1335"/>
      <c r="B199" s="1336"/>
      <c r="C199" s="1336"/>
      <c r="D199" s="1336"/>
      <c r="E199" s="1336"/>
      <c r="F199" s="1337"/>
      <c r="J199" s="1335"/>
      <c r="K199" s="1336"/>
      <c r="L199" s="1336"/>
      <c r="M199" s="1336"/>
      <c r="N199" s="1336"/>
      <c r="O199" s="1337"/>
    </row>
    <row r="200" spans="1:17" s="646" customFormat="1" ht="69.75" customHeight="1" x14ac:dyDescent="0.2">
      <c r="A200" s="1334" t="s">
        <v>1595</v>
      </c>
      <c r="B200" s="1334"/>
      <c r="C200" s="1334"/>
      <c r="D200" s="1334"/>
      <c r="E200" s="1334"/>
      <c r="F200" s="1334"/>
      <c r="G200" s="1026"/>
      <c r="H200" s="1027" t="s">
        <v>1038</v>
      </c>
    </row>
    <row r="201" spans="1:17" s="646" customFormat="1" ht="58.5" customHeight="1" x14ac:dyDescent="0.2">
      <c r="A201" s="1335"/>
      <c r="B201" s="1336"/>
      <c r="C201" s="1336"/>
      <c r="D201" s="1336"/>
      <c r="E201" s="1336"/>
      <c r="F201" s="1337"/>
    </row>
    <row r="202" spans="1:17" ht="33" customHeight="1" x14ac:dyDescent="0.2">
      <c r="A202" s="138" t="s">
        <v>1596</v>
      </c>
    </row>
    <row r="203" spans="1:17" s="150" customFormat="1" ht="6.75" customHeight="1" x14ac:dyDescent="0.2">
      <c r="A203" s="134"/>
      <c r="B203" s="134"/>
      <c r="C203" s="134"/>
      <c r="D203" s="134"/>
      <c r="E203" s="134"/>
      <c r="F203" s="134"/>
      <c r="G203" s="149"/>
      <c r="H203" s="149"/>
      <c r="I203" s="149"/>
      <c r="J203" s="149"/>
    </row>
    <row r="204" spans="1:17" s="150" customFormat="1" ht="15" customHeight="1" x14ac:dyDescent="0.2">
      <c r="A204" s="211" t="s">
        <v>952</v>
      </c>
      <c r="B204" s="148"/>
      <c r="C204" s="148"/>
      <c r="D204" s="148"/>
      <c r="E204" s="148"/>
      <c r="F204" s="149"/>
      <c r="G204" s="149"/>
      <c r="H204" s="149"/>
      <c r="I204" s="149"/>
      <c r="J204" s="149"/>
    </row>
    <row r="205" spans="1:17" s="150" customFormat="1" ht="15" customHeight="1" x14ac:dyDescent="0.2">
      <c r="A205" s="211" t="s">
        <v>1404</v>
      </c>
      <c r="B205" s="151"/>
      <c r="C205" s="151"/>
      <c r="D205" s="151"/>
      <c r="E205" s="152"/>
      <c r="F205" s="149"/>
      <c r="G205" s="149"/>
      <c r="H205" s="149"/>
      <c r="I205" s="149"/>
      <c r="J205" s="149"/>
    </row>
    <row r="206" spans="1:17" x14ac:dyDescent="0.2">
      <c r="A206" s="10"/>
      <c r="B206" s="151"/>
      <c r="C206" s="151"/>
      <c r="D206" s="151"/>
      <c r="E206" s="152"/>
      <c r="F206" s="149"/>
    </row>
    <row r="207" spans="1:17" x14ac:dyDescent="0.2">
      <c r="B207" s="1358" t="s">
        <v>1531</v>
      </c>
      <c r="C207" s="1359"/>
      <c r="D207" s="1359"/>
      <c r="E207" s="1359"/>
      <c r="F207" s="1359"/>
      <c r="G207" s="1360"/>
      <c r="I207" s="1338" t="s">
        <v>1382</v>
      </c>
      <c r="J207" s="1338"/>
      <c r="K207" s="1338"/>
      <c r="M207" s="1338" t="s">
        <v>1405</v>
      </c>
      <c r="N207" s="1338"/>
      <c r="O207" s="1338"/>
    </row>
    <row r="208" spans="1:17" ht="13.5" customHeight="1" x14ac:dyDescent="0.2">
      <c r="C208" s="988" t="s">
        <v>2</v>
      </c>
      <c r="D208" s="988" t="s">
        <v>3</v>
      </c>
    </row>
    <row r="209" spans="1:17" ht="48" x14ac:dyDescent="0.2">
      <c r="A209" s="153" t="s">
        <v>662</v>
      </c>
      <c r="B209" s="633" t="s">
        <v>371</v>
      </c>
      <c r="C209" s="634" t="s">
        <v>1</v>
      </c>
      <c r="D209" s="634" t="s">
        <v>5</v>
      </c>
      <c r="E209" s="635" t="s">
        <v>373</v>
      </c>
      <c r="G209" s="137" t="s">
        <v>4</v>
      </c>
      <c r="I209" s="633" t="s">
        <v>371</v>
      </c>
      <c r="J209" s="891" t="s">
        <v>372</v>
      </c>
      <c r="K209" s="635" t="s">
        <v>373</v>
      </c>
      <c r="M209" s="633" t="s">
        <v>371</v>
      </c>
      <c r="N209" s="891" t="s">
        <v>372</v>
      </c>
      <c r="O209" s="635" t="s">
        <v>373</v>
      </c>
      <c r="P209" s="1332" t="s">
        <v>1403</v>
      </c>
      <c r="Q209" s="1333"/>
    </row>
    <row r="210" spans="1:17" ht="6" customHeight="1" x14ac:dyDescent="0.2">
      <c r="A210" s="155"/>
      <c r="B210" s="156"/>
      <c r="C210" s="156"/>
      <c r="D210" s="156"/>
      <c r="I210" s="156"/>
      <c r="J210" s="156"/>
      <c r="M210" s="156"/>
      <c r="N210" s="156"/>
    </row>
    <row r="211" spans="1:17" x14ac:dyDescent="0.2">
      <c r="A211" s="145">
        <f t="shared" ref="A211:A224" si="15">A109</f>
        <v>2025</v>
      </c>
      <c r="B211" s="122"/>
      <c r="C211" s="122"/>
      <c r="D211" s="122"/>
      <c r="E211" s="218">
        <f t="shared" ref="E211:E228" si="16">SUM(B211:D211)</f>
        <v>0</v>
      </c>
      <c r="G211" s="518">
        <f>SUM(C211:D211)</f>
        <v>0</v>
      </c>
      <c r="I211" s="122"/>
      <c r="J211" s="122"/>
      <c r="K211" s="218">
        <f>SUM(I211:J211)</f>
        <v>0</v>
      </c>
      <c r="M211" s="518">
        <f>SUM(B211,I211)</f>
        <v>0</v>
      </c>
      <c r="N211" s="518">
        <f>SUM(C211:D211,J211)</f>
        <v>0</v>
      </c>
      <c r="O211" s="218">
        <f>SUM(M211:N211)</f>
        <v>0</v>
      </c>
      <c r="Q211" s="992">
        <f>F27-M211</f>
        <v>0</v>
      </c>
    </row>
    <row r="212" spans="1:17" x14ac:dyDescent="0.2">
      <c r="A212" s="145">
        <f t="shared" si="15"/>
        <v>2026</v>
      </c>
      <c r="B212" s="122"/>
      <c r="C212" s="122"/>
      <c r="D212" s="122"/>
      <c r="E212" s="218">
        <f t="shared" si="16"/>
        <v>0</v>
      </c>
      <c r="G212" s="518">
        <f t="shared" ref="G212:G228" si="17">SUM(C212:D212)</f>
        <v>0</v>
      </c>
      <c r="I212" s="122"/>
      <c r="J212" s="122"/>
      <c r="K212" s="218">
        <f t="shared" ref="K212:K228" si="18">SUM(I212:J212)</f>
        <v>0</v>
      </c>
      <c r="M212" s="518">
        <f t="shared" ref="M212:M228" si="19">SUM(B212,I212)</f>
        <v>0</v>
      </c>
      <c r="N212" s="518">
        <f t="shared" ref="N212:N228" si="20">SUM(C212:D212,J212)</f>
        <v>0</v>
      </c>
      <c r="O212" s="218">
        <f t="shared" ref="O212:O228" si="21">SUM(M212:N212)</f>
        <v>0</v>
      </c>
    </row>
    <row r="213" spans="1:17" x14ac:dyDescent="0.2">
      <c r="A213" s="145">
        <f t="shared" si="15"/>
        <v>2027</v>
      </c>
      <c r="B213" s="122"/>
      <c r="C213" s="122"/>
      <c r="D213" s="122"/>
      <c r="E213" s="218">
        <f t="shared" si="16"/>
        <v>0</v>
      </c>
      <c r="G213" s="518">
        <f t="shared" si="17"/>
        <v>0</v>
      </c>
      <c r="I213" s="122"/>
      <c r="J213" s="122"/>
      <c r="K213" s="218">
        <f t="shared" si="18"/>
        <v>0</v>
      </c>
      <c r="M213" s="518">
        <f t="shared" si="19"/>
        <v>0</v>
      </c>
      <c r="N213" s="518">
        <f t="shared" si="20"/>
        <v>0</v>
      </c>
      <c r="O213" s="218">
        <f t="shared" si="21"/>
        <v>0</v>
      </c>
    </row>
    <row r="214" spans="1:17" x14ac:dyDescent="0.2">
      <c r="A214" s="145">
        <f t="shared" si="15"/>
        <v>2028</v>
      </c>
      <c r="B214" s="122"/>
      <c r="C214" s="122"/>
      <c r="D214" s="122"/>
      <c r="E214" s="218">
        <f t="shared" si="16"/>
        <v>0</v>
      </c>
      <c r="G214" s="518">
        <f t="shared" si="17"/>
        <v>0</v>
      </c>
      <c r="I214" s="122"/>
      <c r="J214" s="122"/>
      <c r="K214" s="218">
        <f t="shared" si="18"/>
        <v>0</v>
      </c>
      <c r="M214" s="518">
        <f t="shared" si="19"/>
        <v>0</v>
      </c>
      <c r="N214" s="518">
        <f t="shared" si="20"/>
        <v>0</v>
      </c>
      <c r="O214" s="218">
        <f t="shared" si="21"/>
        <v>0</v>
      </c>
    </row>
    <row r="215" spans="1:17" x14ac:dyDescent="0.2">
      <c r="A215" s="145">
        <f t="shared" si="15"/>
        <v>2029</v>
      </c>
      <c r="B215" s="122"/>
      <c r="C215" s="122"/>
      <c r="D215" s="122"/>
      <c r="E215" s="218">
        <f t="shared" si="16"/>
        <v>0</v>
      </c>
      <c r="G215" s="518">
        <f t="shared" si="17"/>
        <v>0</v>
      </c>
      <c r="I215" s="122"/>
      <c r="J215" s="122"/>
      <c r="K215" s="218">
        <f t="shared" si="18"/>
        <v>0</v>
      </c>
      <c r="M215" s="518">
        <f t="shared" si="19"/>
        <v>0</v>
      </c>
      <c r="N215" s="518">
        <f t="shared" si="20"/>
        <v>0</v>
      </c>
      <c r="O215" s="218">
        <f t="shared" si="21"/>
        <v>0</v>
      </c>
    </row>
    <row r="216" spans="1:17" x14ac:dyDescent="0.2">
      <c r="A216" s="145" t="str">
        <f t="shared" si="15"/>
        <v>2030-2034</v>
      </c>
      <c r="B216" s="122"/>
      <c r="C216" s="122"/>
      <c r="D216" s="122"/>
      <c r="E216" s="218">
        <f t="shared" si="16"/>
        <v>0</v>
      </c>
      <c r="G216" s="518">
        <f t="shared" si="17"/>
        <v>0</v>
      </c>
      <c r="I216" s="122"/>
      <c r="J216" s="122"/>
      <c r="K216" s="218">
        <f t="shared" si="18"/>
        <v>0</v>
      </c>
      <c r="M216" s="518">
        <f t="shared" si="19"/>
        <v>0</v>
      </c>
      <c r="N216" s="518">
        <f t="shared" si="20"/>
        <v>0</v>
      </c>
      <c r="O216" s="218">
        <f t="shared" si="21"/>
        <v>0</v>
      </c>
    </row>
    <row r="217" spans="1:17" x14ac:dyDescent="0.2">
      <c r="A217" s="145" t="str">
        <f t="shared" si="15"/>
        <v>2035-2039</v>
      </c>
      <c r="B217" s="122"/>
      <c r="C217" s="122"/>
      <c r="D217" s="122"/>
      <c r="E217" s="218">
        <f t="shared" si="16"/>
        <v>0</v>
      </c>
      <c r="G217" s="518">
        <f t="shared" si="17"/>
        <v>0</v>
      </c>
      <c r="I217" s="122"/>
      <c r="J217" s="122"/>
      <c r="K217" s="218">
        <f t="shared" si="18"/>
        <v>0</v>
      </c>
      <c r="M217" s="518">
        <f t="shared" si="19"/>
        <v>0</v>
      </c>
      <c r="N217" s="518">
        <f t="shared" si="20"/>
        <v>0</v>
      </c>
      <c r="O217" s="218">
        <f t="shared" si="21"/>
        <v>0</v>
      </c>
    </row>
    <row r="218" spans="1:17" x14ac:dyDescent="0.2">
      <c r="A218" s="145" t="str">
        <f t="shared" si="15"/>
        <v>2040-2044</v>
      </c>
      <c r="B218" s="122"/>
      <c r="C218" s="122"/>
      <c r="D218" s="122"/>
      <c r="E218" s="218">
        <f t="shared" si="16"/>
        <v>0</v>
      </c>
      <c r="G218" s="518">
        <f t="shared" si="17"/>
        <v>0</v>
      </c>
      <c r="I218" s="122"/>
      <c r="J218" s="122"/>
      <c r="K218" s="218">
        <f t="shared" si="18"/>
        <v>0</v>
      </c>
      <c r="M218" s="518">
        <f t="shared" si="19"/>
        <v>0</v>
      </c>
      <c r="N218" s="518">
        <f t="shared" si="20"/>
        <v>0</v>
      </c>
      <c r="O218" s="218">
        <f t="shared" si="21"/>
        <v>0</v>
      </c>
    </row>
    <row r="219" spans="1:17" x14ac:dyDescent="0.2">
      <c r="A219" s="145" t="str">
        <f t="shared" si="15"/>
        <v>2045-2049</v>
      </c>
      <c r="B219" s="122"/>
      <c r="C219" s="122"/>
      <c r="D219" s="122"/>
      <c r="E219" s="218">
        <f t="shared" si="16"/>
        <v>0</v>
      </c>
      <c r="G219" s="518">
        <f t="shared" si="17"/>
        <v>0</v>
      </c>
      <c r="I219" s="122"/>
      <c r="J219" s="122"/>
      <c r="K219" s="218">
        <f t="shared" si="18"/>
        <v>0</v>
      </c>
      <c r="M219" s="518">
        <f t="shared" si="19"/>
        <v>0</v>
      </c>
      <c r="N219" s="518">
        <f t="shared" si="20"/>
        <v>0</v>
      </c>
      <c r="O219" s="218">
        <f t="shared" si="21"/>
        <v>0</v>
      </c>
    </row>
    <row r="220" spans="1:17" x14ac:dyDescent="0.2">
      <c r="A220" s="145" t="str">
        <f t="shared" si="15"/>
        <v>2050-2054</v>
      </c>
      <c r="B220" s="122"/>
      <c r="C220" s="122"/>
      <c r="D220" s="122"/>
      <c r="E220" s="218">
        <f t="shared" si="16"/>
        <v>0</v>
      </c>
      <c r="G220" s="518">
        <f t="shared" si="17"/>
        <v>0</v>
      </c>
      <c r="I220" s="122"/>
      <c r="J220" s="122"/>
      <c r="K220" s="218">
        <f t="shared" si="18"/>
        <v>0</v>
      </c>
      <c r="M220" s="518">
        <f t="shared" si="19"/>
        <v>0</v>
      </c>
      <c r="N220" s="518">
        <f t="shared" si="20"/>
        <v>0</v>
      </c>
      <c r="O220" s="218">
        <f t="shared" si="21"/>
        <v>0</v>
      </c>
    </row>
    <row r="221" spans="1:17" x14ac:dyDescent="0.2">
      <c r="A221" s="145" t="str">
        <f t="shared" si="15"/>
        <v>2055-2059</v>
      </c>
      <c r="B221" s="122"/>
      <c r="C221" s="122"/>
      <c r="D221" s="122"/>
      <c r="E221" s="218">
        <f t="shared" si="16"/>
        <v>0</v>
      </c>
      <c r="G221" s="518">
        <f t="shared" si="17"/>
        <v>0</v>
      </c>
      <c r="I221" s="122"/>
      <c r="J221" s="122"/>
      <c r="K221" s="218">
        <f t="shared" si="18"/>
        <v>0</v>
      </c>
      <c r="M221" s="518">
        <f t="shared" si="19"/>
        <v>0</v>
      </c>
      <c r="N221" s="518">
        <f t="shared" si="20"/>
        <v>0</v>
      </c>
      <c r="O221" s="218">
        <f t="shared" si="21"/>
        <v>0</v>
      </c>
    </row>
    <row r="222" spans="1:17" x14ac:dyDescent="0.2">
      <c r="A222" s="145" t="str">
        <f t="shared" si="15"/>
        <v>2060-2064</v>
      </c>
      <c r="B222" s="122"/>
      <c r="C222" s="122"/>
      <c r="D222" s="122"/>
      <c r="E222" s="218">
        <f t="shared" si="16"/>
        <v>0</v>
      </c>
      <c r="G222" s="518">
        <f t="shared" si="17"/>
        <v>0</v>
      </c>
      <c r="I222" s="122"/>
      <c r="J222" s="122"/>
      <c r="K222" s="218">
        <f t="shared" si="18"/>
        <v>0</v>
      </c>
      <c r="M222" s="518">
        <f t="shared" si="19"/>
        <v>0</v>
      </c>
      <c r="N222" s="518">
        <f t="shared" si="20"/>
        <v>0</v>
      </c>
      <c r="O222" s="218">
        <f t="shared" si="21"/>
        <v>0</v>
      </c>
    </row>
    <row r="223" spans="1:17" x14ac:dyDescent="0.2">
      <c r="A223" s="145" t="str">
        <f t="shared" si="15"/>
        <v>2065-2069</v>
      </c>
      <c r="B223" s="122"/>
      <c r="C223" s="122"/>
      <c r="D223" s="122"/>
      <c r="E223" s="218">
        <f t="shared" si="16"/>
        <v>0</v>
      </c>
      <c r="G223" s="518">
        <f t="shared" si="17"/>
        <v>0</v>
      </c>
      <c r="I223" s="122"/>
      <c r="J223" s="122"/>
      <c r="K223" s="218">
        <f t="shared" si="18"/>
        <v>0</v>
      </c>
      <c r="M223" s="518">
        <f t="shared" si="19"/>
        <v>0</v>
      </c>
      <c r="N223" s="518">
        <f t="shared" si="20"/>
        <v>0</v>
      </c>
      <c r="O223" s="218">
        <f t="shared" si="21"/>
        <v>0</v>
      </c>
    </row>
    <row r="224" spans="1:17" x14ac:dyDescent="0.2">
      <c r="A224" s="145" t="str">
        <f t="shared" si="15"/>
        <v>2070-2074</v>
      </c>
      <c r="B224" s="122"/>
      <c r="C224" s="122"/>
      <c r="D224" s="122"/>
      <c r="E224" s="218">
        <f t="shared" si="16"/>
        <v>0</v>
      </c>
      <c r="G224" s="518">
        <f t="shared" si="17"/>
        <v>0</v>
      </c>
      <c r="I224" s="122"/>
      <c r="J224" s="122"/>
      <c r="K224" s="218">
        <f t="shared" si="18"/>
        <v>0</v>
      </c>
      <c r="M224" s="518">
        <f t="shared" si="19"/>
        <v>0</v>
      </c>
      <c r="N224" s="518">
        <f t="shared" si="20"/>
        <v>0</v>
      </c>
      <c r="O224" s="218">
        <f t="shared" si="21"/>
        <v>0</v>
      </c>
    </row>
    <row r="225" spans="1:15" ht="24" x14ac:dyDescent="0.2">
      <c r="A225" s="146" t="s">
        <v>663</v>
      </c>
      <c r="B225" s="122"/>
      <c r="C225" s="122"/>
      <c r="D225" s="122"/>
      <c r="E225" s="218">
        <f t="shared" si="16"/>
        <v>0</v>
      </c>
      <c r="G225" s="518">
        <f t="shared" si="17"/>
        <v>0</v>
      </c>
      <c r="I225" s="122"/>
      <c r="J225" s="122"/>
      <c r="K225" s="218">
        <f t="shared" si="18"/>
        <v>0</v>
      </c>
      <c r="M225" s="518">
        <f t="shared" si="19"/>
        <v>0</v>
      </c>
      <c r="N225" s="518">
        <f t="shared" si="20"/>
        <v>0</v>
      </c>
      <c r="O225" s="218">
        <f t="shared" si="21"/>
        <v>0</v>
      </c>
    </row>
    <row r="226" spans="1:15" ht="24" x14ac:dyDescent="0.2">
      <c r="A226" s="800" t="s">
        <v>1147</v>
      </c>
      <c r="B226" s="122"/>
      <c r="C226" s="122"/>
      <c r="D226" s="122"/>
      <c r="E226" s="218">
        <f t="shared" si="16"/>
        <v>0</v>
      </c>
      <c r="G226" s="518">
        <f t="shared" si="17"/>
        <v>0</v>
      </c>
      <c r="I226" s="122"/>
      <c r="J226" s="122"/>
      <c r="K226" s="218">
        <f t="shared" si="18"/>
        <v>0</v>
      </c>
      <c r="M226" s="518">
        <f t="shared" si="19"/>
        <v>0</v>
      </c>
      <c r="N226" s="518">
        <f t="shared" si="20"/>
        <v>0</v>
      </c>
      <c r="O226" s="218">
        <f t="shared" si="21"/>
        <v>0</v>
      </c>
    </row>
    <row r="227" spans="1:15" x14ac:dyDescent="0.2">
      <c r="A227" s="669"/>
      <c r="B227" s="122"/>
      <c r="C227" s="122"/>
      <c r="D227" s="122"/>
      <c r="E227" s="218">
        <f t="shared" si="16"/>
        <v>0</v>
      </c>
      <c r="G227" s="518">
        <f t="shared" si="17"/>
        <v>0</v>
      </c>
      <c r="I227" s="122"/>
      <c r="J227" s="122"/>
      <c r="K227" s="218">
        <f t="shared" si="18"/>
        <v>0</v>
      </c>
      <c r="M227" s="518">
        <f t="shared" si="19"/>
        <v>0</v>
      </c>
      <c r="N227" s="518">
        <f t="shared" si="20"/>
        <v>0</v>
      </c>
      <c r="O227" s="218">
        <f t="shared" si="21"/>
        <v>0</v>
      </c>
    </row>
    <row r="228" spans="1:15" x14ac:dyDescent="0.2">
      <c r="A228" s="669"/>
      <c r="B228" s="122"/>
      <c r="C228" s="122"/>
      <c r="D228" s="122"/>
      <c r="E228" s="602">
        <f t="shared" si="16"/>
        <v>0</v>
      </c>
      <c r="G228" s="518">
        <f t="shared" si="17"/>
        <v>0</v>
      </c>
      <c r="I228" s="122"/>
      <c r="J228" s="122"/>
      <c r="K228" s="892">
        <f t="shared" si="18"/>
        <v>0</v>
      </c>
      <c r="M228" s="518">
        <f t="shared" si="19"/>
        <v>0</v>
      </c>
      <c r="N228" s="518">
        <f t="shared" si="20"/>
        <v>0</v>
      </c>
      <c r="O228" s="892">
        <f t="shared" si="21"/>
        <v>0</v>
      </c>
    </row>
    <row r="229" spans="1:15" ht="13.5" thickBot="1" x14ac:dyDescent="0.25">
      <c r="A229" s="143" t="s">
        <v>373</v>
      </c>
      <c r="B229" s="529">
        <f>IF(SUM(B211:B228)=I27,SUM(B211:B228),"ERROR")</f>
        <v>0</v>
      </c>
      <c r="C229" s="529">
        <f>SUM(C211:C228)</f>
        <v>0</v>
      </c>
      <c r="D229" s="529">
        <f>SUM(D211:D228)</f>
        <v>0</v>
      </c>
      <c r="E229" s="529">
        <f>SUM(E211:E228)</f>
        <v>0</v>
      </c>
      <c r="G229" s="636">
        <f>IF(SUM(G211:G228)=SUM(C229:D229),SUM(G211:G228),"Error")</f>
        <v>0</v>
      </c>
      <c r="I229" s="529">
        <f>IF(SUM(I211:I228)=H27,SUM(I211:I228),"ERROR")</f>
        <v>0</v>
      </c>
      <c r="J229" s="529">
        <f>SUM(J211:J228)</f>
        <v>0</v>
      </c>
      <c r="K229" s="529">
        <f>SUM(K211:K228)</f>
        <v>0</v>
      </c>
      <c r="M229" s="529">
        <f>IF(SUM(M211:M228)=E27,SUM(M211:M228),"ERROR")</f>
        <v>0</v>
      </c>
      <c r="N229" s="529">
        <f>SUM(N211:N228)</f>
        <v>0</v>
      </c>
      <c r="O229" s="529">
        <f>SUM(O211:O228)</f>
        <v>0</v>
      </c>
    </row>
    <row r="230" spans="1:15" ht="13.5" thickTop="1" x14ac:dyDescent="0.2">
      <c r="A230" s="530" t="s">
        <v>818</v>
      </c>
      <c r="B230" s="525">
        <f>SUM(B211:B228)</f>
        <v>0</v>
      </c>
      <c r="H230" s="530" t="s">
        <v>818</v>
      </c>
      <c r="I230" s="525">
        <f>SUM(I211:I228)</f>
        <v>0</v>
      </c>
      <c r="L230" s="530" t="s">
        <v>818</v>
      </c>
      <c r="M230" s="525">
        <f>SUM(M211:M228)</f>
        <v>0</v>
      </c>
    </row>
    <row r="231" spans="1:15" x14ac:dyDescent="0.2">
      <c r="A231" s="530" t="s">
        <v>690</v>
      </c>
      <c r="B231" s="431">
        <f>I27-B230</f>
        <v>0</v>
      </c>
      <c r="H231" s="530" t="s">
        <v>690</v>
      </c>
      <c r="I231" s="431">
        <f>H27-I230</f>
        <v>0</v>
      </c>
      <c r="L231" s="530" t="s">
        <v>690</v>
      </c>
      <c r="M231" s="431">
        <f>E27-M230</f>
        <v>0</v>
      </c>
    </row>
    <row r="232" spans="1:15" x14ac:dyDescent="0.2">
      <c r="A232" s="530"/>
      <c r="B232" s="431"/>
      <c r="H232" s="530"/>
      <c r="I232" s="431"/>
      <c r="L232" s="530"/>
      <c r="M232" s="431"/>
    </row>
    <row r="233" spans="1:15" x14ac:dyDescent="0.2">
      <c r="A233" s="530"/>
      <c r="B233" s="431"/>
      <c r="H233" s="530"/>
      <c r="I233" s="431"/>
      <c r="L233" s="530"/>
      <c r="M233" s="431"/>
    </row>
    <row r="234" spans="1:15" ht="99" customHeight="1" x14ac:dyDescent="0.2">
      <c r="A234" s="1356" t="s">
        <v>1597</v>
      </c>
      <c r="B234" s="1164"/>
      <c r="C234" s="1164"/>
      <c r="D234" s="1164"/>
      <c r="E234" s="1164"/>
      <c r="F234" s="1164"/>
      <c r="G234" s="157"/>
      <c r="H234" s="157"/>
    </row>
    <row r="235" spans="1:15" x14ac:dyDescent="0.2">
      <c r="A235" s="147"/>
      <c r="B235" s="213"/>
      <c r="C235" s="213"/>
      <c r="D235" s="213"/>
      <c r="E235" s="213"/>
      <c r="F235" s="896"/>
      <c r="G235" s="1349" t="s">
        <v>828</v>
      </c>
      <c r="H235" s="1349"/>
    </row>
    <row r="236" spans="1:15" x14ac:dyDescent="0.2">
      <c r="A236" s="147"/>
      <c r="B236" s="213"/>
      <c r="C236" s="213"/>
      <c r="D236" s="213"/>
      <c r="E236" s="213"/>
      <c r="F236" s="896" t="s">
        <v>829</v>
      </c>
      <c r="G236" s="697" t="s">
        <v>408</v>
      </c>
      <c r="H236" s="697" t="s">
        <v>409</v>
      </c>
    </row>
    <row r="237" spans="1:15" ht="26.25" customHeight="1" x14ac:dyDescent="0.2">
      <c r="E237" s="493" t="s">
        <v>830</v>
      </c>
      <c r="F237" s="122"/>
      <c r="G237" s="625"/>
      <c r="H237" s="871"/>
    </row>
    <row r="238" spans="1:15" x14ac:dyDescent="0.2">
      <c r="A238" s="158"/>
      <c r="B238" s="64"/>
      <c r="C238" s="64"/>
      <c r="D238" s="64"/>
      <c r="E238" s="493" t="s">
        <v>831</v>
      </c>
      <c r="F238" s="122"/>
      <c r="G238" s="625"/>
      <c r="H238" s="625"/>
    </row>
    <row r="239" spans="1:15" ht="13.5" thickBot="1" x14ac:dyDescent="0.25">
      <c r="A239" s="158"/>
      <c r="B239" s="64"/>
      <c r="C239" s="64"/>
      <c r="D239" s="64"/>
      <c r="E239" s="493" t="s">
        <v>373</v>
      </c>
      <c r="F239" s="626">
        <f>IF(SUM(F237:F238)=M229,SUM(F237:F238),"ERROR")</f>
        <v>0</v>
      </c>
      <c r="G239" s="627"/>
      <c r="H239" s="627"/>
    </row>
    <row r="240" spans="1:15" ht="13.5" thickTop="1" x14ac:dyDescent="0.2">
      <c r="A240" s="158"/>
      <c r="B240" s="64"/>
      <c r="C240" s="64"/>
      <c r="D240" s="64"/>
      <c r="E240" s="409" t="s">
        <v>311</v>
      </c>
      <c r="F240" s="629">
        <f>SUM(F237:F238)</f>
        <v>0</v>
      </c>
      <c r="G240" s="627"/>
      <c r="H240" s="627"/>
    </row>
    <row r="241" spans="1:14" x14ac:dyDescent="0.2">
      <c r="A241" s="158"/>
      <c r="B241" s="64"/>
      <c r="C241" s="64"/>
      <c r="D241" s="64"/>
      <c r="E241" s="409" t="s">
        <v>106</v>
      </c>
      <c r="F241" s="629">
        <f>M230-F240</f>
        <v>0</v>
      </c>
      <c r="G241" s="627"/>
      <c r="H241" s="627"/>
    </row>
    <row r="242" spans="1:14" ht="4.5" customHeight="1" x14ac:dyDescent="0.2">
      <c r="A242" s="158"/>
      <c r="B242" s="64"/>
      <c r="C242" s="64"/>
      <c r="D242" s="64"/>
      <c r="E242" s="628"/>
      <c r="F242" s="280"/>
      <c r="G242" s="627"/>
      <c r="H242" s="627"/>
    </row>
    <row r="243" spans="1:14" x14ac:dyDescent="0.2">
      <c r="A243" s="158"/>
      <c r="B243"/>
      <c r="C243"/>
      <c r="D243"/>
      <c r="E243"/>
      <c r="F243"/>
      <c r="G243" s="491" t="s">
        <v>832</v>
      </c>
      <c r="H243" s="491" t="s">
        <v>833</v>
      </c>
    </row>
    <row r="244" spans="1:14" x14ac:dyDescent="0.2">
      <c r="A244" s="158"/>
      <c r="B244" s="1160" t="s">
        <v>928</v>
      </c>
      <c r="C244" s="1160"/>
      <c r="D244" s="1160"/>
      <c r="E244" s="1160"/>
      <c r="F244" s="1215"/>
      <c r="G244" s="632"/>
      <c r="H244" s="638"/>
    </row>
    <row r="245" spans="1:14" ht="3" customHeight="1" x14ac:dyDescent="0.2">
      <c r="A245" s="158"/>
      <c r="B245" s="211"/>
      <c r="C245" s="211"/>
      <c r="D245" s="211"/>
      <c r="E245" s="409"/>
      <c r="F245" s="196"/>
      <c r="G245" s="627"/>
      <c r="H245" s="627"/>
    </row>
    <row r="246" spans="1:14" ht="27.75" customHeight="1" x14ac:dyDescent="0.2">
      <c r="A246" s="158"/>
      <c r="B246" s="1160" t="s">
        <v>929</v>
      </c>
      <c r="C246" s="1160"/>
      <c r="D246" s="1160"/>
      <c r="E246" s="1160"/>
      <c r="F246" s="1160"/>
      <c r="G246"/>
      <c r="H246"/>
    </row>
    <row r="247" spans="1:14" ht="36" x14ac:dyDescent="0.2">
      <c r="A247" s="158"/>
      <c r="B247"/>
      <c r="C247"/>
      <c r="D247"/>
      <c r="E247"/>
      <c r="F247" s="9" t="s">
        <v>834</v>
      </c>
      <c r="G247" s="9" t="s">
        <v>829</v>
      </c>
      <c r="H247" s="9" t="s">
        <v>1755</v>
      </c>
    </row>
    <row r="248" spans="1:14" x14ac:dyDescent="0.2">
      <c r="A248" s="158"/>
      <c r="B248" s="64"/>
      <c r="C248" s="64"/>
      <c r="D248" s="64"/>
      <c r="E248" s="628"/>
      <c r="F248" s="670"/>
      <c r="G248" s="122"/>
      <c r="H248" s="160"/>
    </row>
    <row r="249" spans="1:14" x14ac:dyDescent="0.2">
      <c r="A249" s="158"/>
      <c r="B249" s="64"/>
      <c r="C249" s="64"/>
      <c r="D249" s="64"/>
      <c r="E249" s="628"/>
      <c r="F249" s="670"/>
      <c r="G249" s="122"/>
      <c r="H249" s="160"/>
    </row>
    <row r="250" spans="1:14" x14ac:dyDescent="0.2">
      <c r="A250" s="158"/>
      <c r="B250" s="64"/>
      <c r="C250" s="64"/>
      <c r="D250" s="64"/>
      <c r="E250" s="628"/>
      <c r="F250" s="670"/>
      <c r="G250" s="122"/>
      <c r="H250" s="160"/>
    </row>
    <row r="251" spans="1:14" x14ac:dyDescent="0.2">
      <c r="A251" s="158"/>
      <c r="B251" s="64"/>
      <c r="C251" s="64"/>
      <c r="D251" s="64"/>
      <c r="E251" s="630"/>
      <c r="F251" s="670"/>
      <c r="G251" s="122"/>
      <c r="H251" s="160"/>
    </row>
    <row r="252" spans="1:14" ht="13.5" thickBot="1" x14ac:dyDescent="0.25">
      <c r="A252" s="158"/>
      <c r="B252" s="64"/>
      <c r="C252" s="64"/>
      <c r="D252" s="64"/>
      <c r="E252" s="630"/>
      <c r="F252" s="631" t="s">
        <v>373</v>
      </c>
      <c r="G252" s="626">
        <f>IF(SUM(G248:G251)=F238,SUM(G248:G251),"ERROR")</f>
        <v>0</v>
      </c>
      <c r="H252" s="627"/>
    </row>
    <row r="253" spans="1:14" ht="13.5" thickTop="1" x14ac:dyDescent="0.2">
      <c r="A253" s="158"/>
      <c r="B253" s="64"/>
      <c r="C253" s="64"/>
      <c r="D253" s="64"/>
      <c r="E253" s="630"/>
      <c r="F253" s="409" t="s">
        <v>311</v>
      </c>
      <c r="G253" s="629">
        <f>SUM(G248:G251)</f>
        <v>0</v>
      </c>
      <c r="H253" s="627"/>
    </row>
    <row r="254" spans="1:14" x14ac:dyDescent="0.2">
      <c r="F254" s="409" t="s">
        <v>106</v>
      </c>
      <c r="G254" s="431">
        <f>F238-G253</f>
        <v>0</v>
      </c>
    </row>
    <row r="256" spans="1:14" ht="57" customHeight="1" x14ac:dyDescent="0.2">
      <c r="A256" s="1271" t="s">
        <v>1598</v>
      </c>
      <c r="B256" s="1162"/>
      <c r="C256" s="1162"/>
      <c r="D256" s="1162"/>
      <c r="E256" s="1162"/>
      <c r="F256" s="1162"/>
      <c r="G256" s="1162"/>
      <c r="H256"/>
      <c r="I256"/>
      <c r="J256"/>
      <c r="K256"/>
      <c r="L256"/>
      <c r="M256"/>
      <c r="N256"/>
    </row>
    <row r="257" spans="1:19" ht="26.25" customHeight="1" x14ac:dyDescent="0.2">
      <c r="A257" s="135"/>
      <c r="E257" s="136"/>
      <c r="G257" s="1348" t="s">
        <v>1750</v>
      </c>
      <c r="H257" s="1348"/>
      <c r="I257" s="1348"/>
    </row>
    <row r="258" spans="1:19" ht="51" x14ac:dyDescent="0.2">
      <c r="A258" s="135"/>
      <c r="B258" s="644" t="s">
        <v>1759</v>
      </c>
      <c r="C258" s="137" t="s">
        <v>672</v>
      </c>
      <c r="D258" s="137" t="s">
        <v>673</v>
      </c>
      <c r="E258" s="644" t="s">
        <v>1751</v>
      </c>
      <c r="F258" s="137" t="s">
        <v>674</v>
      </c>
      <c r="G258" s="863" t="s">
        <v>1327</v>
      </c>
      <c r="H258" s="863" t="s">
        <v>1328</v>
      </c>
      <c r="I258" s="863" t="s">
        <v>482</v>
      </c>
      <c r="J258" s="863" t="s">
        <v>1756</v>
      </c>
      <c r="P258" s="430" t="s">
        <v>1752</v>
      </c>
      <c r="Q258" s="430" t="s">
        <v>1753</v>
      </c>
      <c r="R258" s="430" t="s">
        <v>446</v>
      </c>
      <c r="S258" s="430" t="s">
        <v>698</v>
      </c>
    </row>
    <row r="259" spans="1:19" x14ac:dyDescent="0.2">
      <c r="A259" s="213" t="s">
        <v>578</v>
      </c>
      <c r="B259" s="122"/>
      <c r="C259" s="122"/>
      <c r="D259" s="122"/>
      <c r="E259" s="214">
        <f>IF(SUM(B259:D259)=SUM('Elimination Entries to FST'!H159,'Elimination Entries to FST'!H175),SUM(B259:D259),"ERROR")</f>
        <v>0</v>
      </c>
      <c r="F259" s="214">
        <f>'Elimination Entries to FST'!H159</f>
        <v>0</v>
      </c>
      <c r="G259" s="214"/>
      <c r="H259" s="214"/>
      <c r="I259" s="214"/>
      <c r="J259" s="214"/>
      <c r="P259" s="431">
        <f>SUM(B259:D259)</f>
        <v>0</v>
      </c>
      <c r="Q259" s="431">
        <f>SUM('Elimination Entries to FST'!H159,'Elimination Entries to FST'!H175)-'TAB 5, LT Liabilities'!P259</f>
        <v>0</v>
      </c>
      <c r="R259" s="431"/>
      <c r="S259" s="218"/>
    </row>
    <row r="260" spans="1:19" ht="24" x14ac:dyDescent="0.2">
      <c r="A260" s="896" t="s">
        <v>1510</v>
      </c>
      <c r="B260" s="122"/>
      <c r="C260" s="122"/>
      <c r="D260" s="122"/>
      <c r="E260" s="214">
        <f>IF(SUM(B260:D260)=SUM('Elimination Entries to FST'!H160,'Elimination Entries to FST'!H176),SUM(B260:D260),"ERROR")</f>
        <v>0</v>
      </c>
      <c r="F260" s="214">
        <f>'Elimination Entries to FST'!H160</f>
        <v>0</v>
      </c>
      <c r="G260" s="214"/>
      <c r="H260" s="214"/>
      <c r="I260" s="214"/>
      <c r="J260" s="214"/>
      <c r="P260" s="431">
        <f>SUM(B260:D260)</f>
        <v>0</v>
      </c>
      <c r="Q260" s="431">
        <f>SUM('Elimination Entries to FST'!H160,'Elimination Entries to FST'!H176)-'TAB 5, LT Liabilities'!P260</f>
        <v>0</v>
      </c>
      <c r="R260" s="431"/>
      <c r="S260" s="218"/>
    </row>
    <row r="261" spans="1:19" ht="24" x14ac:dyDescent="0.2">
      <c r="A261" s="896" t="s">
        <v>1587</v>
      </c>
      <c r="B261" s="122"/>
      <c r="C261" s="122"/>
      <c r="D261" s="122"/>
      <c r="E261" s="214">
        <f>IF(SUM(B261:D261)=SUM('Elimination Entries to FST'!H161,'Elimination Entries to FST'!H177),SUM(B261:D261),"ERROR")</f>
        <v>0</v>
      </c>
      <c r="F261" s="214">
        <f>'Elimination Entries to FST'!H161</f>
        <v>0</v>
      </c>
      <c r="G261" s="214"/>
      <c r="H261" s="214"/>
      <c r="I261" s="214"/>
      <c r="J261" s="214"/>
      <c r="P261" s="431">
        <f t="shared" ref="P261" si="22">SUM(B261:D261)</f>
        <v>0</v>
      </c>
      <c r="Q261" s="431">
        <f>SUM('Elimination Entries to FST'!H161,'Elimination Entries to FST'!H177)-'TAB 5, LT Liabilities'!P261</f>
        <v>0</v>
      </c>
      <c r="R261" s="431"/>
      <c r="S261" s="218"/>
    </row>
    <row r="262" spans="1:19" ht="48" x14ac:dyDescent="0.2">
      <c r="A262" s="896" t="s">
        <v>1703</v>
      </c>
      <c r="B262" s="122"/>
      <c r="C262" s="122"/>
      <c r="D262" s="122"/>
      <c r="E262" s="214">
        <f>IF(SUM(B262:D262)=SUM('Elimination Entries to FST'!H162,'Elimination Entries to FST'!H178),SUM(B262:D262),"ERROR")</f>
        <v>0</v>
      </c>
      <c r="F262" s="214">
        <f>'Elimination Entries to FST'!H162</f>
        <v>0</v>
      </c>
      <c r="G262" s="214"/>
      <c r="H262" s="214"/>
      <c r="I262" s="214"/>
      <c r="J262" s="214"/>
      <c r="P262" s="431">
        <f>SUM(B262:D262)</f>
        <v>0</v>
      </c>
      <c r="Q262" s="431">
        <f>SUM('Elimination Entries to FST'!H162,'Elimination Entries to FST'!H178)-'TAB 5, LT Liabilities'!P262</f>
        <v>0</v>
      </c>
      <c r="R262" s="431"/>
      <c r="S262" s="218"/>
    </row>
    <row r="263" spans="1:19" x14ac:dyDescent="0.2">
      <c r="A263" s="213"/>
      <c r="B263" s="214"/>
      <c r="C263" s="214"/>
      <c r="D263" s="214"/>
      <c r="E263" s="214"/>
      <c r="F263" s="214"/>
      <c r="G263" s="214"/>
      <c r="H263" s="214"/>
      <c r="I263" s="214"/>
      <c r="J263" s="214"/>
      <c r="P263" s="431"/>
      <c r="Q263" s="431"/>
      <c r="R263" s="431"/>
      <c r="S263" s="218"/>
    </row>
    <row r="264" spans="1:19" x14ac:dyDescent="0.2">
      <c r="A264" s="213" t="s">
        <v>664</v>
      </c>
      <c r="B264" s="122"/>
      <c r="C264" s="122"/>
      <c r="D264" s="122"/>
      <c r="E264" s="214">
        <f>SUM(B264:D264)</f>
        <v>0</v>
      </c>
      <c r="F264" s="122"/>
      <c r="G264" s="831"/>
      <c r="H264" s="831"/>
      <c r="I264" s="831"/>
      <c r="J264" s="864">
        <f>IF(E264=SUM(G264:I264),SUM(G264:I264),"ERROR")</f>
        <v>0</v>
      </c>
      <c r="P264" s="431"/>
      <c r="Q264" s="431"/>
      <c r="R264" s="431"/>
      <c r="S264" s="218"/>
    </row>
    <row r="265" spans="1:19" ht="24" x14ac:dyDescent="0.2">
      <c r="A265" s="896" t="s">
        <v>1013</v>
      </c>
      <c r="B265" s="122"/>
      <c r="C265" s="122"/>
      <c r="D265" s="122"/>
      <c r="E265" s="214">
        <f>SUM(B265:D265)</f>
        <v>0</v>
      </c>
      <c r="F265" s="122"/>
      <c r="G265" s="831"/>
      <c r="H265" s="831"/>
      <c r="I265" s="831"/>
      <c r="J265" s="864">
        <f>IF(E265=SUM(G265:I265),SUM(G265:I265),"ERROR")</f>
        <v>0</v>
      </c>
      <c r="P265" s="431"/>
      <c r="Q265" s="431"/>
      <c r="R265" s="431"/>
      <c r="S265" s="218"/>
    </row>
    <row r="266" spans="1:19" x14ac:dyDescent="0.2">
      <c r="A266" s="213" t="s">
        <v>454</v>
      </c>
      <c r="B266" s="215">
        <f>SUM(B264:B265)</f>
        <v>0</v>
      </c>
      <c r="C266" s="215">
        <f>SUM(C264:C265)</f>
        <v>0</v>
      </c>
      <c r="D266" s="215">
        <f>SUM(D264:D265)</f>
        <v>0</v>
      </c>
      <c r="E266" s="215">
        <f>IF(SUM(E264:E265)=SUM('Elimination Entries to FST'!H163,'Elimination Entries to FST'!H179),SUM(E264:E265),"ERROR")</f>
        <v>0</v>
      </c>
      <c r="F266" s="215">
        <f>IF(SUM(F264:F265)='Elimination Entries to FST'!H163,SUM(F264:F265),"ERROR")</f>
        <v>0</v>
      </c>
      <c r="G266" s="280"/>
      <c r="H266" s="280"/>
      <c r="I266" s="280"/>
      <c r="J266" s="280"/>
      <c r="P266" s="431">
        <f>SUM(E264:E265)</f>
        <v>0</v>
      </c>
      <c r="Q266" s="431">
        <f>SUM('Elimination Entries to FST'!H163,'Elimination Entries to FST'!H179)-'TAB 5, LT Liabilities'!P266</f>
        <v>0</v>
      </c>
      <c r="R266" s="431">
        <f>SUM(F264:F265)</f>
        <v>0</v>
      </c>
      <c r="S266" s="431">
        <f>'Elimination Entries to FST'!H163-'TAB 5, LT Liabilities'!R266</f>
        <v>0</v>
      </c>
    </row>
    <row r="267" spans="1:19" x14ac:dyDescent="0.2">
      <c r="A267" s="213"/>
      <c r="B267" s="214"/>
      <c r="C267" s="214"/>
      <c r="D267" s="214"/>
      <c r="E267" s="214"/>
      <c r="F267" s="214"/>
      <c r="G267" s="214"/>
      <c r="H267" s="214"/>
      <c r="I267" s="214"/>
      <c r="J267" s="214"/>
      <c r="P267" s="431"/>
      <c r="Q267" s="431"/>
      <c r="R267" s="431"/>
      <c r="S267" s="218"/>
    </row>
    <row r="268" spans="1:19" ht="24" x14ac:dyDescent="0.2">
      <c r="A268" s="213" t="s">
        <v>83</v>
      </c>
      <c r="B268" s="122"/>
      <c r="C268" s="122"/>
      <c r="D268" s="122"/>
      <c r="E268" s="214">
        <f>SUM(B268:D268)</f>
        <v>0</v>
      </c>
      <c r="F268" s="122"/>
      <c r="G268" s="831"/>
      <c r="H268" s="831"/>
      <c r="I268" s="831"/>
      <c r="J268" s="864">
        <f>IF(E268=SUM(G268:I268),SUM(G268:I268),"ERROR")</f>
        <v>0</v>
      </c>
      <c r="P268" s="431"/>
      <c r="Q268" s="431"/>
      <c r="R268" s="431"/>
      <c r="S268" s="218"/>
    </row>
    <row r="269" spans="1:19" ht="24" x14ac:dyDescent="0.2">
      <c r="A269" s="213" t="s">
        <v>84</v>
      </c>
      <c r="B269" s="122"/>
      <c r="C269" s="122"/>
      <c r="D269" s="122"/>
      <c r="E269" s="214">
        <f>SUM(B269:D269)</f>
        <v>0</v>
      </c>
      <c r="F269" s="122"/>
      <c r="G269" s="831"/>
      <c r="H269" s="831"/>
      <c r="I269" s="831"/>
      <c r="J269" s="864">
        <f>IF(E269=SUM(G269:I269),SUM(G269:I269),"ERROR")</f>
        <v>0</v>
      </c>
      <c r="P269" s="431"/>
      <c r="Q269" s="431"/>
      <c r="R269" s="431"/>
      <c r="S269" s="218"/>
    </row>
    <row r="270" spans="1:19" ht="24" x14ac:dyDescent="0.2">
      <c r="A270" s="213" t="s">
        <v>161</v>
      </c>
      <c r="B270" s="122"/>
      <c r="C270" s="122"/>
      <c r="D270" s="122"/>
      <c r="E270" s="214">
        <f>SUM(B270:D270)</f>
        <v>0</v>
      </c>
      <c r="F270" s="122"/>
      <c r="G270" s="831"/>
      <c r="H270" s="831"/>
      <c r="I270" s="831"/>
      <c r="J270" s="864">
        <f>IF(E270=SUM(G270:I270),SUM(G270:I270),"ERROR")</f>
        <v>0</v>
      </c>
      <c r="P270" s="431"/>
      <c r="Q270" s="431"/>
      <c r="R270" s="431"/>
      <c r="S270" s="218"/>
    </row>
    <row r="271" spans="1:19" x14ac:dyDescent="0.2">
      <c r="A271" s="213" t="s">
        <v>455</v>
      </c>
      <c r="B271" s="215">
        <f>SUM(B268:B270)</f>
        <v>0</v>
      </c>
      <c r="C271" s="215">
        <f>SUM(C268:C270)</f>
        <v>0</v>
      </c>
      <c r="D271" s="215">
        <f>SUM(D268:D270)</f>
        <v>0</v>
      </c>
      <c r="E271" s="215">
        <f>IF(SUM(E268:E270)=SUM('Elimination Entries to FST'!H164,'Elimination Entries to FST'!H180),SUM(E268:E270),"ERROR")</f>
        <v>0</v>
      </c>
      <c r="F271" s="215">
        <f>IF(SUM(F268:F270)='Elimination Entries to FST'!H164,SUM(F268:F270),"ERROR")</f>
        <v>0</v>
      </c>
      <c r="G271" s="280"/>
      <c r="H271" s="280"/>
      <c r="I271" s="280"/>
      <c r="J271" s="280"/>
      <c r="P271" s="431">
        <f>SUM(E268:E270)</f>
        <v>0</v>
      </c>
      <c r="Q271" s="431">
        <f>SUM('Elimination Entries to FST'!H164,'Elimination Entries to FST'!H180)-'TAB 5, LT Liabilities'!P271</f>
        <v>0</v>
      </c>
      <c r="R271" s="431">
        <f>SUM(F268:F270)</f>
        <v>0</v>
      </c>
      <c r="S271" s="431">
        <f>'Elimination Entries to FST'!H164-'TAB 5, LT Liabilities'!R271</f>
        <v>0</v>
      </c>
    </row>
    <row r="272" spans="1:19" x14ac:dyDescent="0.2">
      <c r="A272" s="213"/>
      <c r="B272" s="214"/>
      <c r="C272" s="214"/>
      <c r="D272" s="214"/>
      <c r="E272" s="214"/>
      <c r="F272" s="214"/>
      <c r="G272" s="214"/>
      <c r="H272" s="214"/>
      <c r="I272" s="214"/>
      <c r="J272" s="214"/>
      <c r="P272" s="431"/>
      <c r="Q272" s="431"/>
      <c r="R272" s="431"/>
      <c r="S272" s="218"/>
    </row>
    <row r="273" spans="1:19" x14ac:dyDescent="0.2">
      <c r="A273" s="213" t="s">
        <v>816</v>
      </c>
      <c r="B273" s="122"/>
      <c r="C273" s="122"/>
      <c r="D273" s="122"/>
      <c r="E273" s="214">
        <f>IF(SUM(B273:D273)=SUM('Elimination Entries to FST'!H165,'Elimination Entries to FST'!H181),SUM(B273:D273),"ERROR")</f>
        <v>0</v>
      </c>
      <c r="F273" s="214">
        <f>'Elimination Entries to FST'!H165</f>
        <v>0</v>
      </c>
      <c r="G273" s="831"/>
      <c r="H273" s="831"/>
      <c r="I273" s="831"/>
      <c r="J273" s="864">
        <f t="shared" ref="J273" si="23">IF(E273=SUM(G273:I273),SUM(G273:I273),"ERROR")</f>
        <v>0</v>
      </c>
      <c r="P273" s="431">
        <f t="shared" ref="P273:P279" si="24">SUM(B273:D273)</f>
        <v>0</v>
      </c>
      <c r="Q273" s="431">
        <f>SUM('Elimination Entries to FST'!H165,'Elimination Entries to FST'!H181)-'TAB 5, LT Liabilities'!P273</f>
        <v>0</v>
      </c>
      <c r="R273" s="431"/>
      <c r="S273" s="218"/>
    </row>
    <row r="274" spans="1:19" x14ac:dyDescent="0.2">
      <c r="A274" s="896" t="s">
        <v>716</v>
      </c>
      <c r="B274" s="122"/>
      <c r="C274" s="122"/>
      <c r="D274" s="122"/>
      <c r="E274" s="214">
        <f>IF(SUM(B274:D274)=SUM('Elimination Entries to FST'!H166,'Elimination Entries to FST'!H182),SUM(B274:D274),"ERROR")</f>
        <v>0</v>
      </c>
      <c r="F274" s="214">
        <f>'Elimination Entries to FST'!H166</f>
        <v>0</v>
      </c>
      <c r="G274" s="214"/>
      <c r="H274" s="214"/>
      <c r="I274" s="214"/>
      <c r="J274" s="214"/>
      <c r="P274" s="431">
        <f t="shared" si="24"/>
        <v>0</v>
      </c>
      <c r="Q274" s="431">
        <f>SUM('Elimination Entries to FST'!H166,'Elimination Entries to FST'!H182)-'TAB 5, LT Liabilities'!P274</f>
        <v>0</v>
      </c>
      <c r="R274" s="431"/>
      <c r="S274" s="218"/>
    </row>
    <row r="275" spans="1:19" ht="24" x14ac:dyDescent="0.2">
      <c r="A275" s="896" t="s">
        <v>1599</v>
      </c>
      <c r="B275" s="122"/>
      <c r="C275" s="122"/>
      <c r="D275" s="122"/>
      <c r="E275" s="214">
        <f>IF(SUM(B275:D275)=SUM('Elimination Entries to FST'!H167,'Elimination Entries to FST'!H183),SUM(B275:D275),"ERROR")</f>
        <v>0</v>
      </c>
      <c r="F275" s="214">
        <f>'Elimination Entries to FST'!H167</f>
        <v>0</v>
      </c>
      <c r="G275" s="214"/>
      <c r="H275" s="214"/>
      <c r="I275" s="214"/>
      <c r="J275" s="214"/>
      <c r="P275" s="431">
        <f t="shared" si="24"/>
        <v>0</v>
      </c>
      <c r="Q275" s="431">
        <f>SUM('Elimination Entries to FST'!H167,'Elimination Entries to FST'!H183)-'TAB 5, LT Liabilities'!P275</f>
        <v>0</v>
      </c>
      <c r="R275" s="431"/>
      <c r="S275" s="218"/>
    </row>
    <row r="276" spans="1:19" x14ac:dyDescent="0.2">
      <c r="A276" s="896" t="s">
        <v>1280</v>
      </c>
      <c r="B276" s="281"/>
      <c r="C276" s="281"/>
      <c r="D276" s="281"/>
      <c r="E276" s="214">
        <f>IF(SUM(B276:D276)=SUM('Elimination Entries to FST'!H184),SUM(B276:D276),"ERROR")</f>
        <v>0</v>
      </c>
      <c r="F276" s="214">
        <v>0</v>
      </c>
      <c r="G276" s="214"/>
      <c r="H276" s="214"/>
      <c r="I276" s="214"/>
      <c r="J276" s="214"/>
      <c r="P276" s="431">
        <f t="shared" si="24"/>
        <v>0</v>
      </c>
      <c r="Q276" s="431">
        <f>SUM('Elimination Entries to FST'!H184)-'TAB 5, LT Liabilities'!P276</f>
        <v>0</v>
      </c>
      <c r="R276" s="431"/>
      <c r="S276" s="218"/>
    </row>
    <row r="277" spans="1:19" ht="24" x14ac:dyDescent="0.2">
      <c r="A277" s="896" t="s">
        <v>1374</v>
      </c>
      <c r="B277" s="281"/>
      <c r="C277" s="281"/>
      <c r="D277" s="281"/>
      <c r="E277" s="214">
        <f>IF(SUM(B277:D277)=SUM('Elimination Entries to FST'!H168,'Elimination Entries to FST'!H185),SUM(B277:D277),"ERROR")</f>
        <v>0</v>
      </c>
      <c r="F277" s="214">
        <f>'Elimination Entries to FST'!H168</f>
        <v>0</v>
      </c>
      <c r="G277" s="214"/>
      <c r="H277" s="214"/>
      <c r="I277" s="214"/>
      <c r="J277" s="214"/>
      <c r="P277" s="431">
        <f t="shared" si="24"/>
        <v>0</v>
      </c>
      <c r="Q277" s="431">
        <f>SUM('Elimination Entries to FST'!H168,'Elimination Entries to FST'!H185)-'TAB 5, LT Liabilities'!P277</f>
        <v>0</v>
      </c>
      <c r="R277" s="431"/>
      <c r="S277" s="218"/>
    </row>
    <row r="278" spans="1:19" ht="24" x14ac:dyDescent="0.2">
      <c r="A278" s="896" t="s">
        <v>1375</v>
      </c>
      <c r="B278" s="281"/>
      <c r="C278" s="281"/>
      <c r="D278" s="281"/>
      <c r="E278" s="214">
        <f>IF(SUM(B278:D278)=SUM('Elimination Entries to FST'!H169,'Elimination Entries to FST'!H186),SUM(B278:D278),"ERROR")</f>
        <v>0</v>
      </c>
      <c r="F278" s="214">
        <f>'Elimination Entries to FST'!H169</f>
        <v>0</v>
      </c>
      <c r="G278" s="214"/>
      <c r="H278" s="214"/>
      <c r="I278" s="214"/>
      <c r="J278" s="214"/>
      <c r="P278" s="431">
        <f t="shared" si="24"/>
        <v>0</v>
      </c>
      <c r="Q278" s="431">
        <f>SUM('Elimination Entries to FST'!H169,'Elimination Entries to FST'!H186)-'TAB 5, LT Liabilities'!P278</f>
        <v>0</v>
      </c>
      <c r="R278" s="431"/>
      <c r="S278" s="218"/>
    </row>
    <row r="279" spans="1:19" x14ac:dyDescent="0.2">
      <c r="A279" s="213" t="s">
        <v>82</v>
      </c>
      <c r="B279" s="122"/>
      <c r="C279" s="122"/>
      <c r="D279" s="122"/>
      <c r="E279" s="214">
        <f>IF(SUM(B279:D279)=SUM('Elimination Entries to FST'!H170,'Elimination Entries to FST'!H187),SUM(B279:D279),"ERROR")</f>
        <v>0</v>
      </c>
      <c r="F279" s="214">
        <f>'Elimination Entries to FST'!H170</f>
        <v>0</v>
      </c>
      <c r="G279" s="214"/>
      <c r="H279" s="214"/>
      <c r="I279" s="214"/>
      <c r="J279" s="214"/>
      <c r="P279" s="431">
        <f t="shared" si="24"/>
        <v>0</v>
      </c>
      <c r="Q279" s="431">
        <f>SUM('Elimination Entries to FST'!H170,'Elimination Entries to FST'!H187)-'TAB 5, LT Liabilities'!P279</f>
        <v>0</v>
      </c>
      <c r="R279" s="431"/>
      <c r="S279" s="218"/>
    </row>
    <row r="280" spans="1:19" x14ac:dyDescent="0.2">
      <c r="A280" s="213" t="s">
        <v>807</v>
      </c>
      <c r="B280" s="280"/>
      <c r="C280" s="280"/>
      <c r="D280" s="280"/>
      <c r="E280" s="216"/>
      <c r="F280" s="216"/>
      <c r="G280" s="280"/>
      <c r="H280" s="280"/>
      <c r="I280" s="280"/>
      <c r="J280" s="280"/>
      <c r="P280" s="431"/>
      <c r="Q280" s="431"/>
      <c r="R280" s="431"/>
      <c r="S280" s="218"/>
    </row>
    <row r="281" spans="1:19" x14ac:dyDescent="0.2">
      <c r="A281" s="395">
        <f>A38</f>
        <v>0</v>
      </c>
      <c r="B281" s="122"/>
      <c r="C281" s="122"/>
      <c r="D281" s="122"/>
      <c r="E281" s="214">
        <f>SUM(B281:D281)</f>
        <v>0</v>
      </c>
      <c r="F281" s="122"/>
      <c r="G281" s="831"/>
      <c r="H281" s="831"/>
      <c r="I281" s="831"/>
      <c r="J281" s="864">
        <f t="shared" ref="J281" si="25">IF(E281=SUM(G281:I281),SUM(G281:I281),"ERROR")</f>
        <v>0</v>
      </c>
      <c r="P281" s="431"/>
      <c r="Q281" s="431"/>
      <c r="R281" s="431"/>
      <c r="S281" s="218"/>
    </row>
    <row r="282" spans="1:19" x14ac:dyDescent="0.2">
      <c r="A282" s="395">
        <f>A39</f>
        <v>0</v>
      </c>
      <c r="B282" s="122"/>
      <c r="C282" s="122"/>
      <c r="D282" s="122"/>
      <c r="E282" s="214">
        <f>SUM(B282:D282)</f>
        <v>0</v>
      </c>
      <c r="F282" s="122"/>
      <c r="G282" s="831"/>
      <c r="H282" s="831"/>
      <c r="I282" s="831"/>
      <c r="J282" s="864">
        <f t="shared" ref="J282:J285" si="26">IF(E282=SUM(G282:I282),SUM(G282:I282),"ERROR")</f>
        <v>0</v>
      </c>
      <c r="P282" s="431"/>
      <c r="Q282" s="431"/>
      <c r="R282" s="431"/>
      <c r="S282" s="218"/>
    </row>
    <row r="283" spans="1:19" x14ac:dyDescent="0.2">
      <c r="A283" s="395">
        <f>A40</f>
        <v>0</v>
      </c>
      <c r="B283" s="122"/>
      <c r="C283" s="122"/>
      <c r="D283" s="122"/>
      <c r="E283" s="214">
        <f>SUM(B283:D283)</f>
        <v>0</v>
      </c>
      <c r="F283" s="122"/>
      <c r="G283" s="831"/>
      <c r="H283" s="831"/>
      <c r="I283" s="831"/>
      <c r="J283" s="864">
        <f t="shared" si="26"/>
        <v>0</v>
      </c>
      <c r="P283" s="431"/>
      <c r="Q283" s="431"/>
      <c r="R283" s="431"/>
      <c r="S283" s="218"/>
    </row>
    <row r="284" spans="1:19" x14ac:dyDescent="0.2">
      <c r="A284" s="395">
        <f>A41</f>
        <v>0</v>
      </c>
      <c r="B284" s="122"/>
      <c r="C284" s="122"/>
      <c r="D284" s="122"/>
      <c r="E284" s="214">
        <f>SUM(B284:D284)</f>
        <v>0</v>
      </c>
      <c r="F284" s="122"/>
      <c r="G284" s="831"/>
      <c r="H284" s="831"/>
      <c r="I284" s="831"/>
      <c r="J284" s="864">
        <f t="shared" si="26"/>
        <v>0</v>
      </c>
      <c r="P284" s="431"/>
      <c r="Q284" s="431"/>
      <c r="R284" s="431"/>
      <c r="S284" s="218"/>
    </row>
    <row r="285" spans="1:19" x14ac:dyDescent="0.2">
      <c r="A285" s="395">
        <f>A42</f>
        <v>0</v>
      </c>
      <c r="B285" s="122"/>
      <c r="C285" s="122"/>
      <c r="D285" s="122"/>
      <c r="E285" s="217">
        <f>SUM(B285:D285)</f>
        <v>0</v>
      </c>
      <c r="F285" s="122"/>
      <c r="G285" s="831"/>
      <c r="H285" s="831"/>
      <c r="I285" s="831"/>
      <c r="J285" s="864">
        <f t="shared" si="26"/>
        <v>0</v>
      </c>
      <c r="P285" s="431"/>
      <c r="Q285" s="431"/>
      <c r="R285" s="431"/>
      <c r="S285" s="218"/>
    </row>
    <row r="286" spans="1:19" x14ac:dyDescent="0.2">
      <c r="A286" s="213" t="s">
        <v>604</v>
      </c>
      <c r="B286" s="214">
        <f>SUM(B281:B285)</f>
        <v>0</v>
      </c>
      <c r="C286" s="214">
        <f>SUM(C281:C285)</f>
        <v>0</v>
      </c>
      <c r="D286" s="214">
        <f>SUM(D281:D285)</f>
        <v>0</v>
      </c>
      <c r="E286" s="214">
        <f>IF(SUM(E281:E285)=SUM('Elimination Entries to FST'!H171,'Elimination Entries to FST'!H188),SUM(E281:E285),"ERROR")</f>
        <v>0</v>
      </c>
      <c r="F286" s="214">
        <f>IF(SUM(F281:F285)='Elimination Entries to FST'!H171,SUM(F281:F285),"ERROR")</f>
        <v>0</v>
      </c>
      <c r="G286" s="214"/>
      <c r="H286" s="214"/>
      <c r="I286" s="214"/>
      <c r="J286" s="214"/>
      <c r="P286" s="431">
        <f>SUM(E281:E285)</f>
        <v>0</v>
      </c>
      <c r="Q286" s="431">
        <f>SUM('Elimination Entries to FST'!H171,'Elimination Entries to FST'!H188)-'TAB 5, LT Liabilities'!P286</f>
        <v>0</v>
      </c>
      <c r="R286" s="431">
        <f>SUM(F281:F285)</f>
        <v>0</v>
      </c>
      <c r="S286" s="431">
        <f>'Elimination Entries to FST'!H171-'TAB 5, LT Liabilities'!R286</f>
        <v>0</v>
      </c>
    </row>
    <row r="287" spans="1:19" ht="13.5" thickBot="1" x14ac:dyDescent="0.25">
      <c r="A287" s="77" t="s">
        <v>238</v>
      </c>
      <c r="B287" s="626">
        <f>SUM(B259:B262,B266,B271,B273:B279,B286)</f>
        <v>0</v>
      </c>
      <c r="C287" s="626">
        <f t="shared" ref="C287:F287" si="27">SUM(C259:C262,C266,C271,C273:C279,C286)</f>
        <v>0</v>
      </c>
      <c r="D287" s="626">
        <f t="shared" si="27"/>
        <v>0</v>
      </c>
      <c r="E287" s="626">
        <f t="shared" si="27"/>
        <v>0</v>
      </c>
      <c r="F287" s="626">
        <f t="shared" si="27"/>
        <v>0</v>
      </c>
      <c r="G287" s="862"/>
      <c r="H287" s="862"/>
      <c r="I287" s="862"/>
      <c r="J287" s="862"/>
      <c r="O287" s="431"/>
      <c r="P287" s="431"/>
      <c r="Q287" s="431"/>
    </row>
    <row r="288" spans="1:19" ht="15.75" customHeight="1" thickTop="1" x14ac:dyDescent="0.2">
      <c r="A288" s="135"/>
      <c r="B288" s="218"/>
      <c r="C288" s="218"/>
      <c r="D288" s="218"/>
      <c r="E288" s="218"/>
      <c r="F288" s="218"/>
      <c r="G288" s="218"/>
      <c r="H288" s="218"/>
      <c r="I288" s="218"/>
      <c r="J288" s="218"/>
      <c r="O288" s="218"/>
      <c r="P288" s="218"/>
      <c r="Q288" s="218"/>
    </row>
    <row r="289" spans="1:18" ht="51" x14ac:dyDescent="0.2">
      <c r="A289" s="135"/>
      <c r="B289" s="644" t="s">
        <v>1760</v>
      </c>
      <c r="C289" s="137" t="s">
        <v>672</v>
      </c>
      <c r="D289" s="137" t="s">
        <v>673</v>
      </c>
      <c r="E289" s="644" t="s">
        <v>1751</v>
      </c>
      <c r="F289" s="137" t="s">
        <v>674</v>
      </c>
      <c r="G289" s="137"/>
      <c r="H289" s="137"/>
      <c r="I289" s="137"/>
      <c r="J289" s="137"/>
      <c r="P289" s="218"/>
      <c r="Q289" s="218"/>
      <c r="R289" s="218"/>
    </row>
    <row r="290" spans="1:18" x14ac:dyDescent="0.2">
      <c r="A290" s="147" t="s">
        <v>295</v>
      </c>
      <c r="B290" s="520"/>
      <c r="C290" s="520"/>
      <c r="D290" s="520"/>
      <c r="E290" s="518">
        <f>IF(SUM(B290:D290)=SUM('Elimination Entries to FST'!H154,'Elimination Entries to FST'!H155),SUM(B290:D290),"ERROR")</f>
        <v>0</v>
      </c>
      <c r="F290" s="518">
        <f>'Elimination Entries to FST'!H154</f>
        <v>0</v>
      </c>
      <c r="G290" s="218"/>
      <c r="H290" s="218"/>
      <c r="I290" s="218"/>
      <c r="J290" s="218"/>
      <c r="P290" s="431">
        <f>SUM(B290:D290)</f>
        <v>0</v>
      </c>
      <c r="Q290" s="431">
        <f>SUM('Elimination Entries to FST'!H154,'Elimination Entries to FST'!H155)-'TAB 5, LT Liabilities'!P290</f>
        <v>0</v>
      </c>
    </row>
    <row r="291" spans="1:18" ht="34.5" customHeight="1" x14ac:dyDescent="0.2">
      <c r="A291" s="135"/>
    </row>
    <row r="292" spans="1:18" s="141" customFormat="1" ht="31.15" customHeight="1" x14ac:dyDescent="0.2">
      <c r="A292" s="1271" t="s">
        <v>1600</v>
      </c>
      <c r="B292" s="1162"/>
      <c r="C292" s="1162"/>
      <c r="D292" s="1162"/>
      <c r="E292" s="1162"/>
      <c r="F292" s="1162"/>
      <c r="G292" s="1162"/>
      <c r="I292" s="142"/>
      <c r="J292" s="142"/>
    </row>
    <row r="293" spans="1:18" x14ac:dyDescent="0.2">
      <c r="A293" s="135"/>
    </row>
    <row r="294" spans="1:18" x14ac:dyDescent="0.2">
      <c r="A294" s="143"/>
      <c r="B294" s="1369" t="s">
        <v>487</v>
      </c>
      <c r="C294" s="1195"/>
    </row>
    <row r="295" spans="1:18" x14ac:dyDescent="0.2">
      <c r="A295" s="143" t="s">
        <v>370</v>
      </c>
      <c r="B295" s="144" t="s">
        <v>371</v>
      </c>
      <c r="C295" s="144" t="s">
        <v>372</v>
      </c>
      <c r="D295" s="144" t="s">
        <v>373</v>
      </c>
      <c r="F295" s="991" t="s">
        <v>1403</v>
      </c>
    </row>
    <row r="296" spans="1:18" x14ac:dyDescent="0.2">
      <c r="A296" s="522">
        <f t="shared" ref="A296:A310" si="28">A109</f>
        <v>2025</v>
      </c>
      <c r="B296" s="523"/>
      <c r="C296" s="523"/>
      <c r="D296" s="123">
        <f>SUM(B296:C296)</f>
        <v>0</v>
      </c>
      <c r="F296" s="992">
        <f>F274-B296</f>
        <v>0</v>
      </c>
    </row>
    <row r="297" spans="1:18" x14ac:dyDescent="0.2">
      <c r="A297" s="522">
        <f t="shared" si="28"/>
        <v>2026</v>
      </c>
      <c r="B297" s="523"/>
      <c r="C297" s="523"/>
      <c r="D297" s="123">
        <f t="shared" ref="D297:D310" si="29">SUM(B297:C297)</f>
        <v>0</v>
      </c>
    </row>
    <row r="298" spans="1:18" x14ac:dyDescent="0.2">
      <c r="A298" s="522">
        <f t="shared" si="28"/>
        <v>2027</v>
      </c>
      <c r="B298" s="523"/>
      <c r="C298" s="523"/>
      <c r="D298" s="123">
        <f t="shared" si="29"/>
        <v>0</v>
      </c>
    </row>
    <row r="299" spans="1:18" x14ac:dyDescent="0.2">
      <c r="A299" s="522">
        <f t="shared" si="28"/>
        <v>2028</v>
      </c>
      <c r="B299" s="523"/>
      <c r="C299" s="523"/>
      <c r="D299" s="123">
        <f t="shared" si="29"/>
        <v>0</v>
      </c>
    </row>
    <row r="300" spans="1:18" x14ac:dyDescent="0.2">
      <c r="A300" s="522">
        <f t="shared" si="28"/>
        <v>2029</v>
      </c>
      <c r="B300" s="523"/>
      <c r="C300" s="523"/>
      <c r="D300" s="123">
        <f t="shared" si="29"/>
        <v>0</v>
      </c>
    </row>
    <row r="301" spans="1:18" x14ac:dyDescent="0.2">
      <c r="A301" s="522" t="str">
        <f t="shared" si="28"/>
        <v>2030-2034</v>
      </c>
      <c r="B301" s="523"/>
      <c r="C301" s="523"/>
      <c r="D301" s="123">
        <f t="shared" si="29"/>
        <v>0</v>
      </c>
    </row>
    <row r="302" spans="1:18" x14ac:dyDescent="0.2">
      <c r="A302" s="522" t="str">
        <f t="shared" si="28"/>
        <v>2035-2039</v>
      </c>
      <c r="B302" s="523"/>
      <c r="C302" s="523"/>
      <c r="D302" s="123">
        <f t="shared" si="29"/>
        <v>0</v>
      </c>
    </row>
    <row r="303" spans="1:18" x14ac:dyDescent="0.2">
      <c r="A303" s="522" t="str">
        <f t="shared" si="28"/>
        <v>2040-2044</v>
      </c>
      <c r="B303" s="523"/>
      <c r="C303" s="523"/>
      <c r="D303" s="123">
        <f t="shared" si="29"/>
        <v>0</v>
      </c>
    </row>
    <row r="304" spans="1:18" x14ac:dyDescent="0.2">
      <c r="A304" s="522" t="str">
        <f t="shared" si="28"/>
        <v>2045-2049</v>
      </c>
      <c r="B304" s="523"/>
      <c r="C304" s="523"/>
      <c r="D304" s="123">
        <f t="shared" si="29"/>
        <v>0</v>
      </c>
    </row>
    <row r="305" spans="1:7" x14ac:dyDescent="0.2">
      <c r="A305" s="522" t="str">
        <f t="shared" si="28"/>
        <v>2050-2054</v>
      </c>
      <c r="B305" s="523"/>
      <c r="C305" s="523"/>
      <c r="D305" s="123">
        <f t="shared" si="29"/>
        <v>0</v>
      </c>
    </row>
    <row r="306" spans="1:7" x14ac:dyDescent="0.2">
      <c r="A306" s="522" t="str">
        <f t="shared" si="28"/>
        <v>2055-2059</v>
      </c>
      <c r="B306" s="523"/>
      <c r="C306" s="523"/>
      <c r="D306" s="123">
        <f t="shared" si="29"/>
        <v>0</v>
      </c>
    </row>
    <row r="307" spans="1:7" x14ac:dyDescent="0.2">
      <c r="A307" s="522" t="str">
        <f t="shared" si="28"/>
        <v>2060-2064</v>
      </c>
      <c r="B307" s="523"/>
      <c r="C307" s="523"/>
      <c r="D307" s="123">
        <f t="shared" si="29"/>
        <v>0</v>
      </c>
    </row>
    <row r="308" spans="1:7" x14ac:dyDescent="0.2">
      <c r="A308" s="522" t="str">
        <f t="shared" si="28"/>
        <v>2065-2069</v>
      </c>
      <c r="B308" s="523"/>
      <c r="C308" s="523"/>
      <c r="D308" s="123">
        <f t="shared" si="29"/>
        <v>0</v>
      </c>
    </row>
    <row r="309" spans="1:7" x14ac:dyDescent="0.2">
      <c r="A309" s="522" t="str">
        <f t="shared" si="28"/>
        <v>2070-2074</v>
      </c>
      <c r="B309" s="523"/>
      <c r="C309" s="523"/>
      <c r="D309" s="123">
        <f t="shared" si="29"/>
        <v>0</v>
      </c>
    </row>
    <row r="310" spans="1:7" x14ac:dyDescent="0.2">
      <c r="A310" s="395">
        <f t="shared" si="28"/>
        <v>0</v>
      </c>
      <c r="B310" s="523"/>
      <c r="C310" s="523"/>
      <c r="D310" s="123">
        <f t="shared" si="29"/>
        <v>0</v>
      </c>
    </row>
    <row r="311" spans="1:7" ht="13.5" thickBot="1" x14ac:dyDescent="0.25">
      <c r="A311" s="159" t="s">
        <v>373</v>
      </c>
      <c r="B311" s="437">
        <f>IF(SUM(B296:B310)=SUM('Elimination Entries to FST'!H166,'Elimination Entries to FST'!H182),SUM(B296:B310),"ERROR")</f>
        <v>0</v>
      </c>
      <c r="C311" s="437">
        <f>SUM(C296:C310)</f>
        <v>0</v>
      </c>
      <c r="D311" s="437">
        <f>SUM(D296:D310)</f>
        <v>0</v>
      </c>
    </row>
    <row r="312" spans="1:7" ht="13.5" thickTop="1" x14ac:dyDescent="0.2">
      <c r="A312" s="524" t="s">
        <v>818</v>
      </c>
      <c r="B312" s="526">
        <f>SUM(B296:B310)</f>
        <v>0</v>
      </c>
    </row>
    <row r="313" spans="1:7" x14ac:dyDescent="0.2">
      <c r="A313" s="524" t="s">
        <v>690</v>
      </c>
      <c r="B313" s="526">
        <f>SUM('Elimination Entries to FST'!H166,'Elimination Entries to FST'!H182)-'TAB 5, LT Liabilities'!B312</f>
        <v>0</v>
      </c>
    </row>
    <row r="314" spans="1:7" x14ac:dyDescent="0.2">
      <c r="A314" s="432"/>
      <c r="B314" s="519"/>
    </row>
    <row r="315" spans="1:7" ht="31.15" customHeight="1" x14ac:dyDescent="0.2">
      <c r="A315" s="1271" t="s">
        <v>1601</v>
      </c>
      <c r="B315" s="1162"/>
      <c r="C315" s="1162"/>
      <c r="D315" s="1162"/>
      <c r="E315" s="1162"/>
      <c r="F315" s="1162"/>
      <c r="G315" s="1162"/>
    </row>
    <row r="316" spans="1:7" x14ac:dyDescent="0.2">
      <c r="A316" s="135"/>
    </row>
    <row r="317" spans="1:7" x14ac:dyDescent="0.2">
      <c r="A317" s="143" t="s">
        <v>370</v>
      </c>
      <c r="B317" s="144" t="s">
        <v>371</v>
      </c>
      <c r="C317" s="144" t="s">
        <v>372</v>
      </c>
      <c r="D317" s="144" t="s">
        <v>373</v>
      </c>
      <c r="F317" s="991" t="s">
        <v>1403</v>
      </c>
    </row>
    <row r="318" spans="1:7" x14ac:dyDescent="0.2">
      <c r="A318" s="522">
        <v>2025</v>
      </c>
      <c r="B318" s="523"/>
      <c r="C318" s="523"/>
      <c r="D318" s="123">
        <f t="shared" ref="D318:D330" si="30">SUM(B318:C318)</f>
        <v>0</v>
      </c>
      <c r="F318" s="992">
        <f>F260-B318</f>
        <v>0</v>
      </c>
    </row>
    <row r="319" spans="1:7" x14ac:dyDescent="0.2">
      <c r="A319" s="522">
        <v>2026</v>
      </c>
      <c r="B319" s="523"/>
      <c r="C319" s="523"/>
      <c r="D319" s="123">
        <f t="shared" si="30"/>
        <v>0</v>
      </c>
    </row>
    <row r="320" spans="1:7" x14ac:dyDescent="0.2">
      <c r="A320" s="522">
        <v>2027</v>
      </c>
      <c r="B320" s="523"/>
      <c r="C320" s="523"/>
      <c r="D320" s="123">
        <f t="shared" si="30"/>
        <v>0</v>
      </c>
    </row>
    <row r="321" spans="1:19" x14ac:dyDescent="0.2">
      <c r="A321" s="522">
        <v>2028</v>
      </c>
      <c r="B321" s="523"/>
      <c r="C321" s="523"/>
      <c r="D321" s="123">
        <f t="shared" si="30"/>
        <v>0</v>
      </c>
    </row>
    <row r="322" spans="1:19" x14ac:dyDescent="0.2">
      <c r="A322" s="522">
        <v>2029</v>
      </c>
      <c r="B322" s="523"/>
      <c r="C322" s="523"/>
      <c r="D322" s="123">
        <f t="shared" si="30"/>
        <v>0</v>
      </c>
    </row>
    <row r="323" spans="1:19" x14ac:dyDescent="0.2">
      <c r="A323" s="645" t="s">
        <v>1741</v>
      </c>
      <c r="B323" s="523"/>
      <c r="C323" s="523"/>
      <c r="D323" s="123">
        <f t="shared" si="30"/>
        <v>0</v>
      </c>
    </row>
    <row r="324" spans="1:19" x14ac:dyDescent="0.2">
      <c r="A324" s="645" t="s">
        <v>1742</v>
      </c>
      <c r="B324" s="523"/>
      <c r="C324" s="523"/>
      <c r="D324" s="123">
        <f t="shared" si="30"/>
        <v>0</v>
      </c>
    </row>
    <row r="325" spans="1:19" x14ac:dyDescent="0.2">
      <c r="A325" s="645" t="s">
        <v>1743</v>
      </c>
      <c r="B325" s="523"/>
      <c r="C325" s="523"/>
      <c r="D325" s="123">
        <f t="shared" si="30"/>
        <v>0</v>
      </c>
    </row>
    <row r="326" spans="1:19" x14ac:dyDescent="0.2">
      <c r="A326" s="645" t="s">
        <v>1744</v>
      </c>
      <c r="B326" s="523"/>
      <c r="C326" s="523"/>
      <c r="D326" s="123">
        <f t="shared" si="30"/>
        <v>0</v>
      </c>
    </row>
    <row r="327" spans="1:19" x14ac:dyDescent="0.2">
      <c r="A327" s="645" t="s">
        <v>1745</v>
      </c>
      <c r="B327" s="523"/>
      <c r="C327" s="523"/>
      <c r="D327" s="123">
        <f t="shared" si="30"/>
        <v>0</v>
      </c>
    </row>
    <row r="328" spans="1:19" x14ac:dyDescent="0.2">
      <c r="A328" s="645" t="s">
        <v>1746</v>
      </c>
      <c r="B328" s="523"/>
      <c r="C328" s="523"/>
      <c r="D328" s="123">
        <f t="shared" si="30"/>
        <v>0</v>
      </c>
    </row>
    <row r="329" spans="1:19" x14ac:dyDescent="0.2">
      <c r="A329" s="645" t="s">
        <v>1747</v>
      </c>
      <c r="B329" s="523"/>
      <c r="C329" s="523"/>
      <c r="D329" s="123">
        <f t="shared" si="30"/>
        <v>0</v>
      </c>
    </row>
    <row r="330" spans="1:19" x14ac:dyDescent="0.2">
      <c r="A330" s="645" t="s">
        <v>1748</v>
      </c>
      <c r="B330" s="523"/>
      <c r="C330" s="523"/>
      <c r="D330" s="123">
        <f t="shared" si="30"/>
        <v>0</v>
      </c>
    </row>
    <row r="331" spans="1:19" ht="38.25" x14ac:dyDescent="0.2">
      <c r="A331" s="645" t="s">
        <v>1749</v>
      </c>
      <c r="B331" s="523"/>
      <c r="C331" s="523"/>
      <c r="D331" s="123">
        <f>SUM(B331:C331)</f>
        <v>0</v>
      </c>
      <c r="F331" s="644" t="s">
        <v>1268</v>
      </c>
      <c r="G331" s="644" t="s">
        <v>1269</v>
      </c>
      <c r="H331" s="709" t="s">
        <v>373</v>
      </c>
    </row>
    <row r="332" spans="1:19" hidden="1" x14ac:dyDescent="0.2">
      <c r="A332" s="1048"/>
      <c r="B332" s="1048"/>
      <c r="C332" s="1048"/>
      <c r="D332" s="1048"/>
      <c r="E332" s="1048"/>
      <c r="F332" s="527"/>
      <c r="G332" s="527"/>
      <c r="H332" s="218">
        <f>SUM(F332:G332)</f>
        <v>0</v>
      </c>
      <c r="I332" s="1048"/>
      <c r="J332" s="1048"/>
      <c r="K332" s="1048"/>
      <c r="L332" s="1048"/>
      <c r="M332" s="1048"/>
      <c r="N332" s="1048"/>
      <c r="O332" s="1048"/>
      <c r="P332" s="1048"/>
      <c r="Q332" s="1048"/>
      <c r="R332" s="1048"/>
      <c r="S332" s="1048"/>
    </row>
    <row r="333" spans="1:19" ht="37.9" customHeight="1" thickBot="1" x14ac:dyDescent="0.25">
      <c r="A333" s="159" t="s">
        <v>373</v>
      </c>
      <c r="B333" s="437">
        <f>IF(SUM(B318:B332)=SUM('Elimination Entries to FST'!H160,'Elimination Entries to FST'!H176),SUM(B318:B332),"ERROR")</f>
        <v>0</v>
      </c>
      <c r="C333" s="437">
        <f>SUM(C318:C332)</f>
        <v>0</v>
      </c>
      <c r="D333" s="437">
        <f>SUM(D318:D332)</f>
        <v>0</v>
      </c>
      <c r="F333" s="523"/>
      <c r="G333" s="523"/>
      <c r="H333" s="123">
        <f>IF(SUM(F333:G333)=B333,SUM(F333:G333),"Error")</f>
        <v>0</v>
      </c>
    </row>
    <row r="334" spans="1:19" ht="13.5" thickTop="1" x14ac:dyDescent="0.2">
      <c r="A334" s="524" t="s">
        <v>818</v>
      </c>
      <c r="B334" s="526">
        <f>SUM(B318:B332)</f>
        <v>0</v>
      </c>
    </row>
    <row r="335" spans="1:19" x14ac:dyDescent="0.2">
      <c r="A335" s="524" t="s">
        <v>690</v>
      </c>
      <c r="B335" s="526">
        <f>SUM('Elimination Entries to FST'!H160,'Elimination Entries to FST'!H176)-'TAB 5, LT Liabilities'!B334</f>
        <v>0</v>
      </c>
    </row>
    <row r="336" spans="1:19" x14ac:dyDescent="0.2">
      <c r="A336" s="143"/>
      <c r="B336" s="528"/>
    </row>
    <row r="337" spans="1:10" hidden="1" x14ac:dyDescent="0.2">
      <c r="A337" s="143"/>
      <c r="B337" s="528"/>
    </row>
    <row r="338" spans="1:10" hidden="1" x14ac:dyDescent="0.2">
      <c r="A338" s="143"/>
      <c r="B338" s="143"/>
      <c r="C338" s="143"/>
      <c r="D338" s="143"/>
      <c r="E338" s="143"/>
      <c r="F338" s="143"/>
      <c r="G338" s="143"/>
      <c r="H338" s="143"/>
      <c r="I338" s="143"/>
      <c r="J338" s="143"/>
    </row>
    <row r="339" spans="1:10" ht="75.75" hidden="1" customHeight="1" x14ac:dyDescent="0.2">
      <c r="A339" s="143"/>
      <c r="B339" s="143"/>
      <c r="C339" s="143"/>
      <c r="D339" s="143"/>
      <c r="E339" s="143"/>
      <c r="F339" s="143"/>
      <c r="G339" s="143"/>
      <c r="H339" s="143"/>
      <c r="I339" s="143"/>
      <c r="J339" s="143"/>
    </row>
    <row r="340" spans="1:10" hidden="1" x14ac:dyDescent="0.2">
      <c r="A340" s="143"/>
      <c r="B340" s="528"/>
    </row>
    <row r="341" spans="1:10" ht="57.75" customHeight="1" x14ac:dyDescent="0.2">
      <c r="A341" s="1271" t="s">
        <v>1608</v>
      </c>
      <c r="B341" s="1162"/>
      <c r="C341" s="1162"/>
      <c r="D341" s="1162"/>
      <c r="E341" s="1162"/>
      <c r="F341" s="1162"/>
      <c r="G341" s="1162"/>
    </row>
    <row r="342" spans="1:10" x14ac:dyDescent="0.2">
      <c r="A342" s="135"/>
    </row>
    <row r="343" spans="1:10" x14ac:dyDescent="0.2">
      <c r="A343" s="143" t="s">
        <v>370</v>
      </c>
      <c r="B343" s="144" t="s">
        <v>371</v>
      </c>
      <c r="C343" s="144" t="s">
        <v>372</v>
      </c>
      <c r="D343" s="144" t="s">
        <v>373</v>
      </c>
      <c r="F343" s="991" t="s">
        <v>1403</v>
      </c>
    </row>
    <row r="344" spans="1:10" x14ac:dyDescent="0.2">
      <c r="A344" s="522">
        <v>2025</v>
      </c>
      <c r="B344" s="523"/>
      <c r="C344" s="523"/>
      <c r="D344" s="123">
        <f>SUM(B344:C344)</f>
        <v>0</v>
      </c>
      <c r="F344" s="992">
        <f>F275-B344</f>
        <v>0</v>
      </c>
    </row>
    <row r="345" spans="1:10" x14ac:dyDescent="0.2">
      <c r="A345" s="522">
        <v>2026</v>
      </c>
      <c r="B345" s="523"/>
      <c r="C345" s="523"/>
      <c r="D345" s="123">
        <f t="shared" ref="D345:D357" si="31">SUM(B345:C345)</f>
        <v>0</v>
      </c>
    </row>
    <row r="346" spans="1:10" x14ac:dyDescent="0.2">
      <c r="A346" s="522">
        <v>2027</v>
      </c>
      <c r="B346" s="523"/>
      <c r="C346" s="523"/>
      <c r="D346" s="123">
        <f t="shared" si="31"/>
        <v>0</v>
      </c>
    </row>
    <row r="347" spans="1:10" x14ac:dyDescent="0.2">
      <c r="A347" s="522">
        <v>2028</v>
      </c>
      <c r="B347" s="523"/>
      <c r="C347" s="523"/>
      <c r="D347" s="123">
        <f t="shared" si="31"/>
        <v>0</v>
      </c>
    </row>
    <row r="348" spans="1:10" x14ac:dyDescent="0.2">
      <c r="A348" s="522">
        <v>2029</v>
      </c>
      <c r="B348" s="523"/>
      <c r="C348" s="523"/>
      <c r="D348" s="123">
        <f t="shared" si="31"/>
        <v>0</v>
      </c>
    </row>
    <row r="349" spans="1:10" x14ac:dyDescent="0.2">
      <c r="A349" s="645" t="s">
        <v>1741</v>
      </c>
      <c r="B349" s="523"/>
      <c r="C349" s="523"/>
      <c r="D349" s="123">
        <f t="shared" si="31"/>
        <v>0</v>
      </c>
    </row>
    <row r="350" spans="1:10" x14ac:dyDescent="0.2">
      <c r="A350" s="645" t="s">
        <v>1742</v>
      </c>
      <c r="B350" s="523"/>
      <c r="C350" s="523"/>
      <c r="D350" s="123">
        <f t="shared" si="31"/>
        <v>0</v>
      </c>
    </row>
    <row r="351" spans="1:10" x14ac:dyDescent="0.2">
      <c r="A351" s="645" t="s">
        <v>1743</v>
      </c>
      <c r="B351" s="523"/>
      <c r="C351" s="523"/>
      <c r="D351" s="123">
        <f t="shared" si="31"/>
        <v>0</v>
      </c>
    </row>
    <row r="352" spans="1:10" x14ac:dyDescent="0.2">
      <c r="A352" s="645" t="s">
        <v>1744</v>
      </c>
      <c r="B352" s="523"/>
      <c r="C352" s="523"/>
      <c r="D352" s="123">
        <f t="shared" si="31"/>
        <v>0</v>
      </c>
    </row>
    <row r="353" spans="1:18" x14ac:dyDescent="0.2">
      <c r="A353" s="645" t="s">
        <v>1745</v>
      </c>
      <c r="B353" s="523"/>
      <c r="C353" s="523"/>
      <c r="D353" s="123">
        <f t="shared" si="31"/>
        <v>0</v>
      </c>
    </row>
    <row r="354" spans="1:18" x14ac:dyDescent="0.2">
      <c r="A354" s="645" t="s">
        <v>1746</v>
      </c>
      <c r="B354" s="523"/>
      <c r="C354" s="523"/>
      <c r="D354" s="123">
        <f>SUM(B354:C354)</f>
        <v>0</v>
      </c>
    </row>
    <row r="355" spans="1:18" x14ac:dyDescent="0.2">
      <c r="A355" s="645" t="s">
        <v>1747</v>
      </c>
      <c r="B355" s="523"/>
      <c r="C355" s="523"/>
      <c r="D355" s="123">
        <f t="shared" si="31"/>
        <v>0</v>
      </c>
    </row>
    <row r="356" spans="1:18" x14ac:dyDescent="0.2">
      <c r="A356" s="645" t="s">
        <v>1748</v>
      </c>
      <c r="B356" s="523"/>
      <c r="C356" s="523"/>
      <c r="D356" s="123">
        <f t="shared" si="31"/>
        <v>0</v>
      </c>
    </row>
    <row r="357" spans="1:18" x14ac:dyDescent="0.2">
      <c r="A357" s="645" t="s">
        <v>1749</v>
      </c>
      <c r="B357" s="523"/>
      <c r="C357" s="523"/>
      <c r="D357" s="123">
        <f t="shared" si="31"/>
        <v>0</v>
      </c>
    </row>
    <row r="358" spans="1:18" hidden="1" x14ac:dyDescent="0.2">
      <c r="A358" s="1048"/>
      <c r="B358" s="1048"/>
      <c r="C358" s="1048"/>
      <c r="D358" s="1048"/>
      <c r="E358" s="1048"/>
      <c r="I358" s="1048"/>
      <c r="J358" s="1048"/>
      <c r="K358" s="1048"/>
      <c r="L358" s="1048"/>
      <c r="M358" s="1048"/>
      <c r="N358" s="1048"/>
      <c r="O358" s="1048"/>
      <c r="P358" s="1048"/>
      <c r="Q358" s="1048"/>
      <c r="R358" s="1048"/>
    </row>
    <row r="359" spans="1:18" ht="43.15" customHeight="1" thickBot="1" x14ac:dyDescent="0.25">
      <c r="A359" s="159" t="s">
        <v>373</v>
      </c>
      <c r="B359" s="437">
        <f>IF(SUM(B344:B358)=SUM('Elimination Entries to FST'!H167,'Elimination Entries to FST'!H183),SUM(B344:B358),"ERROR")</f>
        <v>0</v>
      </c>
      <c r="C359" s="437">
        <f>SUM(C344:C358)</f>
        <v>0</v>
      </c>
      <c r="D359" s="437">
        <f>SUM(D344:D358)</f>
        <v>0</v>
      </c>
    </row>
    <row r="360" spans="1:18" ht="13.5" thickTop="1" x14ac:dyDescent="0.2">
      <c r="A360" s="524" t="s">
        <v>818</v>
      </c>
      <c r="B360" s="526">
        <f>SUM(B344:B358)</f>
        <v>0</v>
      </c>
    </row>
    <row r="361" spans="1:18" x14ac:dyDescent="0.2">
      <c r="A361" s="524" t="s">
        <v>690</v>
      </c>
      <c r="B361" s="526">
        <f>SUM('Elimination Entries to FST'!H167,'Elimination Entries to FST'!H183)-'TAB 5, LT Liabilities'!B360</f>
        <v>0</v>
      </c>
    </row>
    <row r="362" spans="1:18" x14ac:dyDescent="0.2">
      <c r="A362" s="143"/>
      <c r="B362" s="528"/>
    </row>
    <row r="363" spans="1:18" x14ac:dyDescent="0.2">
      <c r="A363" s="143"/>
      <c r="B363" s="528"/>
    </row>
    <row r="364" spans="1:18" s="646" customFormat="1" ht="40.5" customHeight="1" x14ac:dyDescent="0.2">
      <c r="A364" s="1271" t="s">
        <v>1609</v>
      </c>
      <c r="B364" s="1162"/>
      <c r="C364" s="1162"/>
      <c r="D364" s="1162"/>
      <c r="E364" s="1162"/>
      <c r="F364" s="1162"/>
      <c r="G364" s="1162"/>
      <c r="J364" s="1368" t="s">
        <v>1610</v>
      </c>
      <c r="K364" s="1368"/>
      <c r="L364" s="1368"/>
      <c r="M364" s="1368"/>
      <c r="N364" s="1368"/>
      <c r="O364" s="1368"/>
      <c r="P364" s="1368"/>
      <c r="Q364" s="511"/>
    </row>
    <row r="365" spans="1:18" s="646" customFormat="1" x14ac:dyDescent="0.2">
      <c r="A365" s="135"/>
      <c r="J365" s="138"/>
      <c r="K365" s="511"/>
      <c r="L365" s="1017"/>
      <c r="M365" s="511"/>
      <c r="N365" s="511"/>
      <c r="O365" s="511"/>
      <c r="P365" s="511"/>
      <c r="Q365" s="511"/>
    </row>
    <row r="366" spans="1:18" s="646" customFormat="1" x14ac:dyDescent="0.2">
      <c r="A366" s="1092" t="s">
        <v>370</v>
      </c>
      <c r="B366" s="1093" t="s">
        <v>371</v>
      </c>
      <c r="C366" s="1093" t="s">
        <v>372</v>
      </c>
      <c r="D366" s="1093" t="s">
        <v>373</v>
      </c>
      <c r="F366" s="991" t="s">
        <v>1403</v>
      </c>
      <c r="J366" s="1016" t="s">
        <v>370</v>
      </c>
      <c r="K366" s="1017" t="s">
        <v>371</v>
      </c>
      <c r="L366" s="1017" t="s">
        <v>372</v>
      </c>
      <c r="M366" s="1017" t="s">
        <v>373</v>
      </c>
      <c r="N366" s="1018"/>
      <c r="O366" s="991" t="s">
        <v>1403</v>
      </c>
      <c r="P366" s="1018"/>
      <c r="Q366" s="1018"/>
    </row>
    <row r="367" spans="1:18" s="646" customFormat="1" x14ac:dyDescent="0.2">
      <c r="A367" s="1088">
        <v>2025</v>
      </c>
      <c r="B367" s="1089"/>
      <c r="C367" s="1089"/>
      <c r="D367" s="1090">
        <f>SUM(B367:C367)</f>
        <v>0</v>
      </c>
      <c r="F367" s="992">
        <f>F262-B367</f>
        <v>0</v>
      </c>
      <c r="J367" s="1088">
        <v>2025</v>
      </c>
      <c r="K367" s="1089"/>
      <c r="L367" s="1089"/>
      <c r="M367" s="1090">
        <f>SUM(K367:L367)</f>
        <v>0</v>
      </c>
      <c r="N367" s="1023"/>
      <c r="O367" s="992">
        <f>F261-K367</f>
        <v>0</v>
      </c>
      <c r="P367" s="1018"/>
      <c r="Q367" s="1018"/>
    </row>
    <row r="368" spans="1:18" s="646" customFormat="1" x14ac:dyDescent="0.2">
      <c r="A368" s="1088">
        <v>2026</v>
      </c>
      <c r="B368" s="1089"/>
      <c r="C368" s="1089"/>
      <c r="D368" s="1090">
        <f>SUM(B368:C368)</f>
        <v>0</v>
      </c>
      <c r="J368" s="1088">
        <v>2026</v>
      </c>
      <c r="K368" s="1089"/>
      <c r="L368" s="1089"/>
      <c r="M368" s="1090">
        <f>SUM(K368:L368)</f>
        <v>0</v>
      </c>
      <c r="N368" s="1018"/>
      <c r="O368" s="992"/>
      <c r="P368" s="1018"/>
      <c r="Q368" s="1018"/>
    </row>
    <row r="369" spans="1:17" s="646" customFormat="1" x14ac:dyDescent="0.2">
      <c r="A369" s="1088">
        <v>2027</v>
      </c>
      <c r="B369" s="1089"/>
      <c r="C369" s="1089"/>
      <c r="D369" s="1090">
        <f t="shared" ref="D369:D376" si="32">SUM(B369:C369)</f>
        <v>0</v>
      </c>
      <c r="J369" s="1088">
        <v>2027</v>
      </c>
      <c r="K369" s="1089"/>
      <c r="L369" s="1089"/>
      <c r="M369" s="1090">
        <f t="shared" ref="M369:M380" si="33">SUM(K369:L369)</f>
        <v>0</v>
      </c>
      <c r="N369" s="511"/>
      <c r="O369" s="511"/>
      <c r="P369" s="511"/>
      <c r="Q369" s="511"/>
    </row>
    <row r="370" spans="1:17" s="646" customFormat="1" x14ac:dyDescent="0.2">
      <c r="A370" s="1088">
        <v>2028</v>
      </c>
      <c r="B370" s="1089"/>
      <c r="C370" s="1089"/>
      <c r="D370" s="1090">
        <f t="shared" si="32"/>
        <v>0</v>
      </c>
      <c r="J370" s="1088">
        <v>2028</v>
      </c>
      <c r="K370" s="1089"/>
      <c r="L370" s="1089"/>
      <c r="M370" s="1090">
        <f t="shared" si="33"/>
        <v>0</v>
      </c>
      <c r="N370" s="511"/>
      <c r="O370" s="511"/>
      <c r="P370" s="511"/>
      <c r="Q370" s="511"/>
    </row>
    <row r="371" spans="1:17" s="646" customFormat="1" x14ac:dyDescent="0.2">
      <c r="A371" s="1088">
        <v>2029</v>
      </c>
      <c r="B371" s="1089"/>
      <c r="C371" s="1089"/>
      <c r="D371" s="1090">
        <f t="shared" si="32"/>
        <v>0</v>
      </c>
      <c r="J371" s="1088">
        <v>2029</v>
      </c>
      <c r="K371" s="1089"/>
      <c r="L371" s="1089"/>
      <c r="M371" s="1090">
        <f t="shared" si="33"/>
        <v>0</v>
      </c>
      <c r="N371" s="511"/>
      <c r="O371" s="511"/>
      <c r="P371" s="511"/>
      <c r="Q371" s="511"/>
    </row>
    <row r="372" spans="1:17" s="646" customFormat="1" x14ac:dyDescent="0.2">
      <c r="A372" s="645" t="s">
        <v>1741</v>
      </c>
      <c r="B372" s="1089"/>
      <c r="C372" s="1089"/>
      <c r="D372" s="1090">
        <f>SUM(B372:C372)</f>
        <v>0</v>
      </c>
      <c r="J372" s="645" t="s">
        <v>1741</v>
      </c>
      <c r="K372" s="1089"/>
      <c r="L372" s="1089"/>
      <c r="M372" s="1090">
        <f t="shared" si="33"/>
        <v>0</v>
      </c>
      <c r="N372" s="511"/>
      <c r="O372" s="511"/>
      <c r="P372" s="511"/>
      <c r="Q372" s="511"/>
    </row>
    <row r="373" spans="1:17" s="646" customFormat="1" x14ac:dyDescent="0.2">
      <c r="A373" s="645" t="s">
        <v>1742</v>
      </c>
      <c r="B373" s="1089"/>
      <c r="C373" s="1089"/>
      <c r="D373" s="1090">
        <f t="shared" si="32"/>
        <v>0</v>
      </c>
      <c r="J373" s="645" t="s">
        <v>1742</v>
      </c>
      <c r="K373" s="1089"/>
      <c r="L373" s="1089"/>
      <c r="M373" s="1090">
        <f t="shared" si="33"/>
        <v>0</v>
      </c>
      <c r="N373" s="511"/>
      <c r="O373" s="511"/>
      <c r="P373" s="511"/>
      <c r="Q373" s="511"/>
    </row>
    <row r="374" spans="1:17" s="646" customFormat="1" x14ac:dyDescent="0.2">
      <c r="A374" s="645" t="s">
        <v>1743</v>
      </c>
      <c r="B374" s="1089"/>
      <c r="C374" s="1089"/>
      <c r="D374" s="1090">
        <f t="shared" si="32"/>
        <v>0</v>
      </c>
      <c r="J374" s="645" t="s">
        <v>1743</v>
      </c>
      <c r="K374" s="1089"/>
      <c r="L374" s="1089"/>
      <c r="M374" s="1090">
        <f t="shared" si="33"/>
        <v>0</v>
      </c>
      <c r="N374" s="511"/>
      <c r="O374" s="511"/>
      <c r="P374" s="511"/>
      <c r="Q374" s="511"/>
    </row>
    <row r="375" spans="1:17" s="646" customFormat="1" x14ac:dyDescent="0.2">
      <c r="A375" s="645" t="s">
        <v>1744</v>
      </c>
      <c r="B375" s="1089"/>
      <c r="C375" s="1089"/>
      <c r="D375" s="1090">
        <f t="shared" si="32"/>
        <v>0</v>
      </c>
      <c r="J375" s="645" t="s">
        <v>1744</v>
      </c>
      <c r="K375" s="1089"/>
      <c r="L375" s="1089"/>
      <c r="M375" s="1090">
        <f t="shared" si="33"/>
        <v>0</v>
      </c>
      <c r="N375" s="511"/>
      <c r="O375" s="511"/>
      <c r="P375" s="511"/>
      <c r="Q375" s="511"/>
    </row>
    <row r="376" spans="1:17" s="646" customFormat="1" x14ac:dyDescent="0.2">
      <c r="A376" s="645" t="s">
        <v>1745</v>
      </c>
      <c r="B376" s="1089"/>
      <c r="C376" s="1089"/>
      <c r="D376" s="1090">
        <f t="shared" si="32"/>
        <v>0</v>
      </c>
      <c r="J376" s="645" t="s">
        <v>1745</v>
      </c>
      <c r="K376" s="1089"/>
      <c r="L376" s="1089"/>
      <c r="M376" s="1090">
        <f t="shared" si="33"/>
        <v>0</v>
      </c>
      <c r="N376" s="511"/>
      <c r="O376" s="511"/>
      <c r="P376" s="511"/>
      <c r="Q376" s="511"/>
    </row>
    <row r="377" spans="1:17" s="646" customFormat="1" x14ac:dyDescent="0.2">
      <c r="A377" s="645" t="s">
        <v>1746</v>
      </c>
      <c r="B377" s="1089"/>
      <c r="C377" s="1089"/>
      <c r="D377" s="1090">
        <f>SUM(B377:C377)</f>
        <v>0</v>
      </c>
      <c r="J377" s="645" t="s">
        <v>1746</v>
      </c>
      <c r="K377" s="1089"/>
      <c r="L377" s="1089"/>
      <c r="M377" s="1090">
        <f t="shared" si="33"/>
        <v>0</v>
      </c>
      <c r="N377" s="511"/>
      <c r="O377" s="511"/>
      <c r="P377" s="511"/>
      <c r="Q377" s="511"/>
    </row>
    <row r="378" spans="1:17" s="646" customFormat="1" x14ac:dyDescent="0.2">
      <c r="A378" s="645" t="s">
        <v>1747</v>
      </c>
      <c r="B378" s="1089"/>
      <c r="C378" s="1089"/>
      <c r="D378" s="1090">
        <f t="shared" ref="D378:D380" si="34">SUM(B378:C378)</f>
        <v>0</v>
      </c>
      <c r="J378" s="645" t="s">
        <v>1747</v>
      </c>
      <c r="K378" s="1089"/>
      <c r="L378" s="1089"/>
      <c r="M378" s="1090">
        <f t="shared" si="33"/>
        <v>0</v>
      </c>
      <c r="N378" s="511"/>
      <c r="O378" s="511"/>
      <c r="P378" s="511"/>
      <c r="Q378" s="511"/>
    </row>
    <row r="379" spans="1:17" s="646" customFormat="1" x14ac:dyDescent="0.2">
      <c r="A379" s="645" t="s">
        <v>1748</v>
      </c>
      <c r="B379" s="1089"/>
      <c r="C379" s="1089"/>
      <c r="D379" s="1090">
        <f t="shared" si="34"/>
        <v>0</v>
      </c>
      <c r="J379" s="645" t="s">
        <v>1748</v>
      </c>
      <c r="K379" s="1089"/>
      <c r="L379" s="1089"/>
      <c r="M379" s="1090">
        <f t="shared" si="33"/>
        <v>0</v>
      </c>
      <c r="N379" s="511"/>
      <c r="O379" s="511"/>
      <c r="P379" s="511"/>
      <c r="Q379" s="511"/>
    </row>
    <row r="380" spans="1:17" s="646" customFormat="1" ht="38.25" x14ac:dyDescent="0.2">
      <c r="A380" s="645" t="s">
        <v>1749</v>
      </c>
      <c r="B380" s="1089"/>
      <c r="C380" s="1089"/>
      <c r="D380" s="1090">
        <f t="shared" si="34"/>
        <v>0</v>
      </c>
      <c r="F380" s="644" t="s">
        <v>1268</v>
      </c>
      <c r="G380" s="644" t="s">
        <v>1269</v>
      </c>
      <c r="H380" s="709" t="s">
        <v>373</v>
      </c>
      <c r="J380" s="645" t="s">
        <v>1749</v>
      </c>
      <c r="K380" s="1089"/>
      <c r="L380" s="1089"/>
      <c r="M380" s="1090">
        <f t="shared" si="33"/>
        <v>0</v>
      </c>
      <c r="N380" s="511"/>
      <c r="O380" s="644" t="s">
        <v>1268</v>
      </c>
      <c r="P380" s="644" t="s">
        <v>1269</v>
      </c>
      <c r="Q380" s="709" t="s">
        <v>373</v>
      </c>
    </row>
    <row r="381" spans="1:17" s="646" customFormat="1" ht="13.5" thickBot="1" x14ac:dyDescent="0.25">
      <c r="A381" s="645" t="s">
        <v>373</v>
      </c>
      <c r="B381" s="437">
        <f>IF(SUM(B367:B380)=SUM('Elimination Entries to FST'!H162,'Elimination Entries to FST'!H178),SUM(B367:B380),"ERROR")</f>
        <v>0</v>
      </c>
      <c r="C381" s="1091">
        <f>SUM(C367:C380)</f>
        <v>0</v>
      </c>
      <c r="D381" s="1091">
        <f>SUM(D367:D380)</f>
        <v>0</v>
      </c>
      <c r="F381" s="1089"/>
      <c r="G381" s="1089"/>
      <c r="H381" s="1090">
        <f>IF(SUM(F381:G381)=B381,SUM(F381:G381),"Error")</f>
        <v>0</v>
      </c>
      <c r="J381" s="1016" t="s">
        <v>373</v>
      </c>
      <c r="K381" s="437">
        <f>IF(SUM(K367:K380)=SUM('Elimination Entries to FST'!H161,'Elimination Entries to FST'!H177),SUM(K367:K380),"ERROR")</f>
        <v>0</v>
      </c>
      <c r="L381" s="1091">
        <f>SUM(L367:L380)</f>
        <v>0</v>
      </c>
      <c r="M381" s="1091">
        <f>SUM(M367:M380)</f>
        <v>0</v>
      </c>
      <c r="N381" s="511"/>
      <c r="O381" s="1089"/>
      <c r="P381" s="1089"/>
      <c r="Q381" s="1090">
        <f>IF(SUM(O381:P381)=K381,SUM(O381:P381),"Error")</f>
        <v>0</v>
      </c>
    </row>
    <row r="382" spans="1:17" s="646" customFormat="1" ht="13.5" thickTop="1" x14ac:dyDescent="0.2">
      <c r="A382" s="524" t="s">
        <v>818</v>
      </c>
      <c r="B382" s="526">
        <f>SUM(B367:B380)</f>
        <v>0</v>
      </c>
      <c r="J382" s="524" t="s">
        <v>818</v>
      </c>
      <c r="K382" s="526">
        <f>SUM(K367:K380)</f>
        <v>0</v>
      </c>
      <c r="L382" s="526"/>
    </row>
    <row r="383" spans="1:17" s="646" customFormat="1" x14ac:dyDescent="0.2">
      <c r="A383" s="524" t="s">
        <v>690</v>
      </c>
      <c r="B383" s="526">
        <f>SUM('Elimination Entries to FST'!H162,'Elimination Entries to FST'!H178)-'TAB 5, LT Liabilities'!B382</f>
        <v>0</v>
      </c>
      <c r="J383" s="524" t="s">
        <v>690</v>
      </c>
      <c r="K383" s="526">
        <f>SUM('Elimination Entries to FST'!H161,'Elimination Entries to FST'!H177)-'TAB 5, LT Liabilities'!K382</f>
        <v>0</v>
      </c>
      <c r="L383" s="526"/>
    </row>
    <row r="384" spans="1:17" s="646" customFormat="1" x14ac:dyDescent="0.2">
      <c r="A384" s="524"/>
      <c r="B384" s="526"/>
    </row>
    <row r="385" spans="1:17" s="646" customFormat="1" x14ac:dyDescent="0.2">
      <c r="A385" s="1092"/>
      <c r="B385" s="1094"/>
    </row>
    <row r="386" spans="1:17" s="646" customFormat="1" ht="66" customHeight="1" x14ac:dyDescent="0.2">
      <c r="A386" s="1092"/>
      <c r="B386" s="1094"/>
    </row>
    <row r="387" spans="1:17" ht="51.75" customHeight="1" x14ac:dyDescent="0.2">
      <c r="A387" s="1271" t="s">
        <v>1705</v>
      </c>
      <c r="B387" s="1162"/>
      <c r="C387" s="1162"/>
      <c r="D387" s="1162"/>
      <c r="E387" s="1162"/>
      <c r="F387" s="1162"/>
      <c r="G387" s="1162"/>
    </row>
    <row r="388" spans="1:17" s="150" customFormat="1" ht="15" customHeight="1" x14ac:dyDescent="0.2">
      <c r="A388" s="134"/>
      <c r="B388" s="134"/>
      <c r="C388" s="134"/>
      <c r="D388" s="134"/>
      <c r="E388" s="134"/>
      <c r="F388" s="134"/>
      <c r="G388" s="149"/>
      <c r="H388" s="149"/>
      <c r="I388" s="149"/>
      <c r="J388" s="149"/>
    </row>
    <row r="389" spans="1:17" x14ac:dyDescent="0.2">
      <c r="B389" s="1358" t="s">
        <v>1531</v>
      </c>
      <c r="C389" s="1359"/>
      <c r="D389" s="1359"/>
      <c r="E389" s="1359"/>
      <c r="F389" s="1359"/>
      <c r="G389" s="1360"/>
      <c r="I389" s="1338" t="s">
        <v>1382</v>
      </c>
      <c r="J389" s="1338"/>
      <c r="K389" s="1338"/>
      <c r="M389" s="1338" t="s">
        <v>1405</v>
      </c>
      <c r="N389" s="1338"/>
      <c r="O389" s="1338"/>
    </row>
    <row r="390" spans="1:17" x14ac:dyDescent="0.2">
      <c r="C390" s="988" t="s">
        <v>2</v>
      </c>
      <c r="D390" s="988" t="s">
        <v>3</v>
      </c>
    </row>
    <row r="391" spans="1:17" ht="48" x14ac:dyDescent="0.2">
      <c r="A391" s="153" t="s">
        <v>662</v>
      </c>
      <c r="B391" s="154" t="s">
        <v>371</v>
      </c>
      <c r="C391" s="634" t="s">
        <v>1</v>
      </c>
      <c r="D391" s="634" t="s">
        <v>5</v>
      </c>
      <c r="E391" s="153" t="s">
        <v>373</v>
      </c>
      <c r="G391" s="137" t="s">
        <v>4</v>
      </c>
      <c r="I391" s="633" t="s">
        <v>371</v>
      </c>
      <c r="J391" s="891" t="s">
        <v>372</v>
      </c>
      <c r="K391" s="635" t="s">
        <v>373</v>
      </c>
      <c r="M391" s="633" t="s">
        <v>371</v>
      </c>
      <c r="N391" s="891" t="s">
        <v>372</v>
      </c>
      <c r="O391" s="635" t="s">
        <v>373</v>
      </c>
      <c r="P391" s="1332" t="s">
        <v>1403</v>
      </c>
      <c r="Q391" s="1333"/>
    </row>
    <row r="392" spans="1:17" x14ac:dyDescent="0.2">
      <c r="A392" s="146" t="s">
        <v>487</v>
      </c>
      <c r="B392" s="156"/>
      <c r="C392" s="156"/>
      <c r="D392" s="156"/>
      <c r="I392" s="156"/>
      <c r="J392" s="156"/>
      <c r="M392" s="156"/>
      <c r="N392" s="156"/>
    </row>
    <row r="393" spans="1:17" x14ac:dyDescent="0.2">
      <c r="A393" s="145">
        <f t="shared" ref="A393:A406" si="35">A109</f>
        <v>2025</v>
      </c>
      <c r="B393" s="122"/>
      <c r="C393" s="122"/>
      <c r="D393" s="122"/>
      <c r="E393" s="218">
        <f t="shared" ref="E393:E410" si="36">SUM(B393:D393)</f>
        <v>0</v>
      </c>
      <c r="G393" s="518">
        <f>SUM(C393:D393)</f>
        <v>0</v>
      </c>
      <c r="I393" s="122"/>
      <c r="J393" s="122"/>
      <c r="K393" s="218">
        <f>SUM(I393:J393)</f>
        <v>0</v>
      </c>
      <c r="M393" s="518">
        <f>SUM(B393,I393)</f>
        <v>0</v>
      </c>
      <c r="N393" s="518">
        <f>SUM(C393:D393,J393)</f>
        <v>0</v>
      </c>
      <c r="O393" s="218">
        <f>SUM(M393:N393)</f>
        <v>0</v>
      </c>
      <c r="Q393" s="992">
        <f>F270-M393</f>
        <v>0</v>
      </c>
    </row>
    <row r="394" spans="1:17" x14ac:dyDescent="0.2">
      <c r="A394" s="145">
        <f t="shared" si="35"/>
        <v>2026</v>
      </c>
      <c r="B394" s="122"/>
      <c r="C394" s="122"/>
      <c r="D394" s="122"/>
      <c r="E394" s="218">
        <f t="shared" si="36"/>
        <v>0</v>
      </c>
      <c r="G394" s="518">
        <f>SUM(C394:D394)</f>
        <v>0</v>
      </c>
      <c r="I394" s="122"/>
      <c r="J394" s="122"/>
      <c r="K394" s="218">
        <f>SUM(I394:J394)</f>
        <v>0</v>
      </c>
      <c r="M394" s="518">
        <f t="shared" ref="M394:M410" si="37">SUM(B394,I394)</f>
        <v>0</v>
      </c>
      <c r="N394" s="518">
        <f t="shared" ref="N394:N410" si="38">SUM(C394:D394,J394)</f>
        <v>0</v>
      </c>
      <c r="O394" s="218">
        <f>SUM(M394:N394)</f>
        <v>0</v>
      </c>
    </row>
    <row r="395" spans="1:17" x14ac:dyDescent="0.2">
      <c r="A395" s="145">
        <f t="shared" si="35"/>
        <v>2027</v>
      </c>
      <c r="B395" s="122"/>
      <c r="C395" s="122"/>
      <c r="D395" s="122"/>
      <c r="E395" s="218">
        <f t="shared" si="36"/>
        <v>0</v>
      </c>
      <c r="G395" s="518">
        <f t="shared" ref="G395:G410" si="39">SUM(C395:D395)</f>
        <v>0</v>
      </c>
      <c r="I395" s="122"/>
      <c r="J395" s="122"/>
      <c r="K395" s="218">
        <f t="shared" ref="K395:K410" si="40">SUM(I395:J395)</f>
        <v>0</v>
      </c>
      <c r="M395" s="518">
        <f t="shared" si="37"/>
        <v>0</v>
      </c>
      <c r="N395" s="518">
        <f t="shared" si="38"/>
        <v>0</v>
      </c>
      <c r="O395" s="218">
        <f t="shared" ref="O395:O410" si="41">SUM(M395:N395)</f>
        <v>0</v>
      </c>
    </row>
    <row r="396" spans="1:17" x14ac:dyDescent="0.2">
      <c r="A396" s="145">
        <f t="shared" si="35"/>
        <v>2028</v>
      </c>
      <c r="B396" s="122"/>
      <c r="C396" s="122"/>
      <c r="D396" s="122"/>
      <c r="E396" s="218">
        <f t="shared" si="36"/>
        <v>0</v>
      </c>
      <c r="G396" s="518">
        <f t="shared" si="39"/>
        <v>0</v>
      </c>
      <c r="I396" s="122"/>
      <c r="J396" s="122"/>
      <c r="K396" s="218">
        <f t="shared" si="40"/>
        <v>0</v>
      </c>
      <c r="M396" s="518">
        <f t="shared" si="37"/>
        <v>0</v>
      </c>
      <c r="N396" s="518">
        <f t="shared" si="38"/>
        <v>0</v>
      </c>
      <c r="O396" s="218">
        <f t="shared" si="41"/>
        <v>0</v>
      </c>
    </row>
    <row r="397" spans="1:17" x14ac:dyDescent="0.2">
      <c r="A397" s="145">
        <f t="shared" si="35"/>
        <v>2029</v>
      </c>
      <c r="B397" s="122"/>
      <c r="C397" s="122"/>
      <c r="D397" s="122"/>
      <c r="E397" s="218">
        <f t="shared" si="36"/>
        <v>0</v>
      </c>
      <c r="G397" s="518">
        <f t="shared" si="39"/>
        <v>0</v>
      </c>
      <c r="I397" s="122"/>
      <c r="J397" s="122"/>
      <c r="K397" s="218">
        <f t="shared" si="40"/>
        <v>0</v>
      </c>
      <c r="M397" s="518">
        <f t="shared" si="37"/>
        <v>0</v>
      </c>
      <c r="N397" s="518">
        <f t="shared" si="38"/>
        <v>0</v>
      </c>
      <c r="O397" s="218">
        <f t="shared" si="41"/>
        <v>0</v>
      </c>
    </row>
    <row r="398" spans="1:17" x14ac:dyDescent="0.2">
      <c r="A398" s="145" t="str">
        <f t="shared" si="35"/>
        <v>2030-2034</v>
      </c>
      <c r="B398" s="122"/>
      <c r="C398" s="122"/>
      <c r="D398" s="122"/>
      <c r="E398" s="218">
        <f t="shared" si="36"/>
        <v>0</v>
      </c>
      <c r="G398" s="518">
        <f t="shared" si="39"/>
        <v>0</v>
      </c>
      <c r="I398" s="122"/>
      <c r="J398" s="122"/>
      <c r="K398" s="218">
        <f>SUM(I398:J398)</f>
        <v>0</v>
      </c>
      <c r="M398" s="518">
        <f t="shared" si="37"/>
        <v>0</v>
      </c>
      <c r="N398" s="518">
        <f t="shared" si="38"/>
        <v>0</v>
      </c>
      <c r="O398" s="218">
        <f t="shared" si="41"/>
        <v>0</v>
      </c>
    </row>
    <row r="399" spans="1:17" x14ac:dyDescent="0.2">
      <c r="A399" s="145" t="str">
        <f t="shared" si="35"/>
        <v>2035-2039</v>
      </c>
      <c r="B399" s="122"/>
      <c r="C399" s="122"/>
      <c r="D399" s="122"/>
      <c r="E399" s="218">
        <f t="shared" si="36"/>
        <v>0</v>
      </c>
      <c r="G399" s="518">
        <f t="shared" si="39"/>
        <v>0</v>
      </c>
      <c r="I399" s="122"/>
      <c r="J399" s="122"/>
      <c r="K399" s="218">
        <f t="shared" si="40"/>
        <v>0</v>
      </c>
      <c r="M399" s="518">
        <f t="shared" si="37"/>
        <v>0</v>
      </c>
      <c r="N399" s="518">
        <f t="shared" si="38"/>
        <v>0</v>
      </c>
      <c r="O399" s="218">
        <f t="shared" si="41"/>
        <v>0</v>
      </c>
    </row>
    <row r="400" spans="1:17" x14ac:dyDescent="0.2">
      <c r="A400" s="145" t="str">
        <f t="shared" si="35"/>
        <v>2040-2044</v>
      </c>
      <c r="B400" s="122"/>
      <c r="C400" s="122"/>
      <c r="D400" s="122"/>
      <c r="E400" s="218">
        <f t="shared" si="36"/>
        <v>0</v>
      </c>
      <c r="G400" s="518">
        <f t="shared" si="39"/>
        <v>0</v>
      </c>
      <c r="I400" s="122"/>
      <c r="J400" s="122"/>
      <c r="K400" s="218">
        <f t="shared" si="40"/>
        <v>0</v>
      </c>
      <c r="M400" s="518">
        <f t="shared" si="37"/>
        <v>0</v>
      </c>
      <c r="N400" s="518">
        <f t="shared" si="38"/>
        <v>0</v>
      </c>
      <c r="O400" s="218">
        <f t="shared" si="41"/>
        <v>0</v>
      </c>
    </row>
    <row r="401" spans="1:15" x14ac:dyDescent="0.2">
      <c r="A401" s="145" t="str">
        <f t="shared" si="35"/>
        <v>2045-2049</v>
      </c>
      <c r="B401" s="122"/>
      <c r="C401" s="122"/>
      <c r="D401" s="122"/>
      <c r="E401" s="218">
        <f t="shared" si="36"/>
        <v>0</v>
      </c>
      <c r="G401" s="518">
        <f t="shared" si="39"/>
        <v>0</v>
      </c>
      <c r="I401" s="122"/>
      <c r="J401" s="122"/>
      <c r="K401" s="218">
        <f t="shared" si="40"/>
        <v>0</v>
      </c>
      <c r="M401" s="518">
        <f>SUM(B401,I401)</f>
        <v>0</v>
      </c>
      <c r="N401" s="518">
        <f t="shared" si="38"/>
        <v>0</v>
      </c>
      <c r="O401" s="218">
        <f t="shared" si="41"/>
        <v>0</v>
      </c>
    </row>
    <row r="402" spans="1:15" x14ac:dyDescent="0.2">
      <c r="A402" s="145" t="str">
        <f t="shared" si="35"/>
        <v>2050-2054</v>
      </c>
      <c r="B402" s="122"/>
      <c r="C402" s="122"/>
      <c r="D402" s="122"/>
      <c r="E402" s="218">
        <f t="shared" si="36"/>
        <v>0</v>
      </c>
      <c r="G402" s="518">
        <f t="shared" si="39"/>
        <v>0</v>
      </c>
      <c r="I402" s="122"/>
      <c r="J402" s="122"/>
      <c r="K402" s="218">
        <f t="shared" si="40"/>
        <v>0</v>
      </c>
      <c r="M402" s="518">
        <f t="shared" si="37"/>
        <v>0</v>
      </c>
      <c r="N402" s="518">
        <f t="shared" si="38"/>
        <v>0</v>
      </c>
      <c r="O402" s="218">
        <f t="shared" si="41"/>
        <v>0</v>
      </c>
    </row>
    <row r="403" spans="1:15" x14ac:dyDescent="0.2">
      <c r="A403" s="145" t="str">
        <f t="shared" si="35"/>
        <v>2055-2059</v>
      </c>
      <c r="B403" s="122"/>
      <c r="C403" s="122"/>
      <c r="D403" s="122"/>
      <c r="E403" s="218">
        <f t="shared" si="36"/>
        <v>0</v>
      </c>
      <c r="G403" s="518">
        <f t="shared" si="39"/>
        <v>0</v>
      </c>
      <c r="I403" s="122"/>
      <c r="J403" s="122"/>
      <c r="K403" s="218">
        <f t="shared" si="40"/>
        <v>0</v>
      </c>
      <c r="M403" s="518">
        <f t="shared" si="37"/>
        <v>0</v>
      </c>
      <c r="N403" s="518">
        <f t="shared" si="38"/>
        <v>0</v>
      </c>
      <c r="O403" s="218">
        <f t="shared" si="41"/>
        <v>0</v>
      </c>
    </row>
    <row r="404" spans="1:15" x14ac:dyDescent="0.2">
      <c r="A404" s="145" t="str">
        <f t="shared" si="35"/>
        <v>2060-2064</v>
      </c>
      <c r="B404" s="122"/>
      <c r="C404" s="122"/>
      <c r="D404" s="122"/>
      <c r="E404" s="218">
        <f t="shared" si="36"/>
        <v>0</v>
      </c>
      <c r="G404" s="518">
        <f t="shared" si="39"/>
        <v>0</v>
      </c>
      <c r="I404" s="122"/>
      <c r="J404" s="122"/>
      <c r="K404" s="218">
        <f t="shared" si="40"/>
        <v>0</v>
      </c>
      <c r="M404" s="518">
        <f t="shared" si="37"/>
        <v>0</v>
      </c>
      <c r="N404" s="518">
        <f t="shared" si="38"/>
        <v>0</v>
      </c>
      <c r="O404" s="218">
        <f t="shared" si="41"/>
        <v>0</v>
      </c>
    </row>
    <row r="405" spans="1:15" x14ac:dyDescent="0.2">
      <c r="A405" s="145" t="str">
        <f t="shared" si="35"/>
        <v>2065-2069</v>
      </c>
      <c r="B405" s="122"/>
      <c r="C405" s="122"/>
      <c r="D405" s="122"/>
      <c r="E405" s="218">
        <f t="shared" si="36"/>
        <v>0</v>
      </c>
      <c r="G405" s="518">
        <f t="shared" si="39"/>
        <v>0</v>
      </c>
      <c r="I405" s="122"/>
      <c r="J405" s="122"/>
      <c r="K405" s="218">
        <f t="shared" si="40"/>
        <v>0</v>
      </c>
      <c r="M405" s="518">
        <f t="shared" si="37"/>
        <v>0</v>
      </c>
      <c r="N405" s="518">
        <f t="shared" si="38"/>
        <v>0</v>
      </c>
      <c r="O405" s="218">
        <f t="shared" si="41"/>
        <v>0</v>
      </c>
    </row>
    <row r="406" spans="1:15" x14ac:dyDescent="0.2">
      <c r="A406" s="145" t="str">
        <f t="shared" si="35"/>
        <v>2070-2074</v>
      </c>
      <c r="B406" s="122"/>
      <c r="C406" s="122"/>
      <c r="D406" s="122"/>
      <c r="E406" s="218">
        <f t="shared" si="36"/>
        <v>0</v>
      </c>
      <c r="G406" s="518">
        <f t="shared" si="39"/>
        <v>0</v>
      </c>
      <c r="I406" s="122"/>
      <c r="J406" s="122"/>
      <c r="K406" s="218">
        <f t="shared" si="40"/>
        <v>0</v>
      </c>
      <c r="M406" s="518">
        <f t="shared" si="37"/>
        <v>0</v>
      </c>
      <c r="N406" s="518">
        <f t="shared" si="38"/>
        <v>0</v>
      </c>
      <c r="O406" s="218">
        <f t="shared" si="41"/>
        <v>0</v>
      </c>
    </row>
    <row r="407" spans="1:15" ht="24" x14ac:dyDescent="0.2">
      <c r="A407" s="146" t="s">
        <v>488</v>
      </c>
      <c r="B407" s="122"/>
      <c r="C407" s="122"/>
      <c r="D407" s="122"/>
      <c r="E407" s="218">
        <f t="shared" si="36"/>
        <v>0</v>
      </c>
      <c r="G407" s="518">
        <f t="shared" si="39"/>
        <v>0</v>
      </c>
      <c r="I407" s="122"/>
      <c r="J407" s="122"/>
      <c r="K407" s="218">
        <f t="shared" si="40"/>
        <v>0</v>
      </c>
      <c r="M407" s="518">
        <f t="shared" si="37"/>
        <v>0</v>
      </c>
      <c r="N407" s="518">
        <f t="shared" si="38"/>
        <v>0</v>
      </c>
      <c r="O407" s="218">
        <f t="shared" si="41"/>
        <v>0</v>
      </c>
    </row>
    <row r="408" spans="1:15" ht="24" x14ac:dyDescent="0.2">
      <c r="A408" s="800" t="s">
        <v>1148</v>
      </c>
      <c r="B408" s="122"/>
      <c r="C408" s="122"/>
      <c r="D408" s="122"/>
      <c r="E408" s="218">
        <f t="shared" si="36"/>
        <v>0</v>
      </c>
      <c r="G408" s="518">
        <f t="shared" si="39"/>
        <v>0</v>
      </c>
      <c r="I408" s="122"/>
      <c r="J408" s="122"/>
      <c r="K408" s="218">
        <f t="shared" si="40"/>
        <v>0</v>
      </c>
      <c r="M408" s="518">
        <f t="shared" si="37"/>
        <v>0</v>
      </c>
      <c r="N408" s="518">
        <f t="shared" si="38"/>
        <v>0</v>
      </c>
      <c r="O408" s="218">
        <f t="shared" si="41"/>
        <v>0</v>
      </c>
    </row>
    <row r="409" spans="1:15" x14ac:dyDescent="0.2">
      <c r="A409" s="404">
        <f>A227</f>
        <v>0</v>
      </c>
      <c r="B409" s="122"/>
      <c r="C409" s="122"/>
      <c r="D409" s="122"/>
      <c r="E409" s="218">
        <f t="shared" si="36"/>
        <v>0</v>
      </c>
      <c r="G409" s="518">
        <f t="shared" si="39"/>
        <v>0</v>
      </c>
      <c r="I409" s="122"/>
      <c r="J409" s="122"/>
      <c r="K409" s="218">
        <f t="shared" si="40"/>
        <v>0</v>
      </c>
      <c r="M409" s="518">
        <f t="shared" si="37"/>
        <v>0</v>
      </c>
      <c r="N409" s="518">
        <f t="shared" si="38"/>
        <v>0</v>
      </c>
      <c r="O409" s="218">
        <f t="shared" si="41"/>
        <v>0</v>
      </c>
    </row>
    <row r="410" spans="1:15" x14ac:dyDescent="0.2">
      <c r="A410" s="404">
        <f>A228</f>
        <v>0</v>
      </c>
      <c r="B410" s="122"/>
      <c r="C410" s="122"/>
      <c r="D410" s="122"/>
      <c r="E410" s="602">
        <f t="shared" si="36"/>
        <v>0</v>
      </c>
      <c r="G410" s="518">
        <f t="shared" si="39"/>
        <v>0</v>
      </c>
      <c r="I410" s="122"/>
      <c r="J410" s="122"/>
      <c r="K410" s="218">
        <f t="shared" si="40"/>
        <v>0</v>
      </c>
      <c r="M410" s="518">
        <f t="shared" si="37"/>
        <v>0</v>
      </c>
      <c r="N410" s="518">
        <f t="shared" si="38"/>
        <v>0</v>
      </c>
      <c r="O410" s="892">
        <f t="shared" si="41"/>
        <v>0</v>
      </c>
    </row>
    <row r="411" spans="1:15" ht="13.5" thickBot="1" x14ac:dyDescent="0.25">
      <c r="A411" s="143" t="s">
        <v>373</v>
      </c>
      <c r="B411" s="529">
        <f>IF(SUM(B393:B410)=I270,SUM(B393:B410),"ERROR")</f>
        <v>0</v>
      </c>
      <c r="C411" s="529">
        <f>SUM(C393:C410)</f>
        <v>0</v>
      </c>
      <c r="D411" s="529">
        <f>SUM(D393:D410)</f>
        <v>0</v>
      </c>
      <c r="E411" s="529">
        <f>SUM(E393:E410)</f>
        <v>0</v>
      </c>
      <c r="G411" s="636">
        <f>IF(SUM(G393:G410)=SUM(C411:D411),SUM(G393:G410),"Error")</f>
        <v>0</v>
      </c>
      <c r="I411" s="529">
        <f>IF(SUM(I393:I410)=H270,SUM(I393:I410),"ERROR")</f>
        <v>0</v>
      </c>
      <c r="J411" s="529">
        <f>SUM(J393:J410)</f>
        <v>0</v>
      </c>
      <c r="K411" s="529">
        <f>SUM(K393:K410)</f>
        <v>0</v>
      </c>
      <c r="M411" s="529">
        <f>IF(SUM(M393:M410)=E270,SUM(M393:M410),"ERROR")</f>
        <v>0</v>
      </c>
      <c r="N411" s="529">
        <f>SUM(N393:N410)</f>
        <v>0</v>
      </c>
      <c r="O411" s="529">
        <f>SUM(O393:O410)</f>
        <v>0</v>
      </c>
    </row>
    <row r="412" spans="1:15" ht="13.5" thickTop="1" x14ac:dyDescent="0.2">
      <c r="A412" s="530" t="s">
        <v>818</v>
      </c>
      <c r="B412" s="526">
        <f>SUM(B393:B410)</f>
        <v>0</v>
      </c>
      <c r="H412" s="530" t="s">
        <v>818</v>
      </c>
      <c r="I412" s="525">
        <f>SUM(I393:I410)</f>
        <v>0</v>
      </c>
      <c r="L412" s="530" t="s">
        <v>818</v>
      </c>
      <c r="M412" s="525">
        <f>SUM(M393:M410)</f>
        <v>0</v>
      </c>
    </row>
    <row r="413" spans="1:15" x14ac:dyDescent="0.2">
      <c r="A413" s="530" t="s">
        <v>690</v>
      </c>
      <c r="B413" s="526">
        <f>I270-B412</f>
        <v>0</v>
      </c>
      <c r="H413" s="530" t="s">
        <v>690</v>
      </c>
      <c r="I413" s="431">
        <f>H270-I412</f>
        <v>0</v>
      </c>
      <c r="L413" s="530" t="s">
        <v>690</v>
      </c>
      <c r="M413" s="431">
        <f>E270-M412</f>
        <v>0</v>
      </c>
    </row>
    <row r="414" spans="1:15" ht="96" customHeight="1" x14ac:dyDescent="0.2"/>
    <row r="419" spans="7:8" ht="15.75" hidden="1" customHeight="1" x14ac:dyDescent="0.2">
      <c r="G419" s="646" t="s">
        <v>375</v>
      </c>
      <c r="H419" s="12" t="s">
        <v>288</v>
      </c>
    </row>
    <row r="420" spans="7:8" hidden="1" x14ac:dyDescent="0.2">
      <c r="G420" s="684" t="s">
        <v>687</v>
      </c>
      <c r="H420" s="802" t="s">
        <v>1159</v>
      </c>
    </row>
    <row r="421" spans="7:8" hidden="1" x14ac:dyDescent="0.2">
      <c r="G421" s="684" t="s">
        <v>688</v>
      </c>
      <c r="H421" s="802" t="s">
        <v>1161</v>
      </c>
    </row>
    <row r="422" spans="7:8" hidden="1" x14ac:dyDescent="0.2">
      <c r="H422" s="802" t="s">
        <v>1164</v>
      </c>
    </row>
    <row r="423" spans="7:8" hidden="1" x14ac:dyDescent="0.2">
      <c r="H423" s="802" t="s">
        <v>1166</v>
      </c>
    </row>
    <row r="424" spans="7:8" hidden="1" x14ac:dyDescent="0.2">
      <c r="H424" s="802" t="s">
        <v>1169</v>
      </c>
    </row>
    <row r="425" spans="7:8" hidden="1" x14ac:dyDescent="0.2">
      <c r="H425" s="802" t="s">
        <v>1170</v>
      </c>
    </row>
    <row r="426" spans="7:8" hidden="1" x14ac:dyDescent="0.2">
      <c r="H426" s="802" t="s">
        <v>1172</v>
      </c>
    </row>
    <row r="427" spans="7:8" hidden="1" x14ac:dyDescent="0.2">
      <c r="H427" s="802" t="s">
        <v>1173</v>
      </c>
    </row>
    <row r="428" spans="7:8" hidden="1" x14ac:dyDescent="0.2">
      <c r="H428" s="802" t="s">
        <v>1175</v>
      </c>
    </row>
    <row r="429" spans="7:8" hidden="1" x14ac:dyDescent="0.2">
      <c r="H429" s="802" t="s">
        <v>1177</v>
      </c>
    </row>
    <row r="430" spans="7:8" hidden="1" x14ac:dyDescent="0.2">
      <c r="H430" s="802" t="s">
        <v>1179</v>
      </c>
    </row>
    <row r="431" spans="7:8" hidden="1" x14ac:dyDescent="0.2">
      <c r="H431" s="802" t="s">
        <v>1181</v>
      </c>
    </row>
    <row r="432" spans="7:8" hidden="1" x14ac:dyDescent="0.2">
      <c r="H432" s="802" t="s">
        <v>1183</v>
      </c>
    </row>
    <row r="433" spans="8:8" hidden="1" x14ac:dyDescent="0.2">
      <c r="H433" s="802" t="s">
        <v>1185</v>
      </c>
    </row>
    <row r="434" spans="8:8" hidden="1" x14ac:dyDescent="0.2">
      <c r="H434" s="802" t="s">
        <v>1187</v>
      </c>
    </row>
    <row r="435" spans="8:8" hidden="1" x14ac:dyDescent="0.2">
      <c r="H435" s="802" t="s">
        <v>1189</v>
      </c>
    </row>
    <row r="436" spans="8:8" hidden="1" x14ac:dyDescent="0.2">
      <c r="H436" s="802" t="s">
        <v>1191</v>
      </c>
    </row>
    <row r="437" spans="8:8" hidden="1" x14ac:dyDescent="0.2">
      <c r="H437" s="802" t="s">
        <v>1193</v>
      </c>
    </row>
    <row r="438" spans="8:8" hidden="1" x14ac:dyDescent="0.2">
      <c r="H438" s="802" t="s">
        <v>1195</v>
      </c>
    </row>
    <row r="439" spans="8:8" hidden="1" x14ac:dyDescent="0.2">
      <c r="H439" s="802" t="s">
        <v>1197</v>
      </c>
    </row>
    <row r="440" spans="8:8" hidden="1" x14ac:dyDescent="0.2">
      <c r="H440" s="802" t="s">
        <v>1198</v>
      </c>
    </row>
    <row r="441" spans="8:8" hidden="1" x14ac:dyDescent="0.2">
      <c r="H441" s="802" t="s">
        <v>1200</v>
      </c>
    </row>
    <row r="442" spans="8:8" hidden="1" x14ac:dyDescent="0.2">
      <c r="H442" s="802" t="s">
        <v>1202</v>
      </c>
    </row>
    <row r="443" spans="8:8" hidden="1" x14ac:dyDescent="0.2">
      <c r="H443" s="802" t="s">
        <v>1203</v>
      </c>
    </row>
    <row r="444" spans="8:8" hidden="1" x14ac:dyDescent="0.2">
      <c r="H444" s="802" t="s">
        <v>1205</v>
      </c>
    </row>
    <row r="445" spans="8:8" hidden="1" x14ac:dyDescent="0.2">
      <c r="H445" s="802" t="s">
        <v>1207</v>
      </c>
    </row>
    <row r="446" spans="8:8" hidden="1" x14ac:dyDescent="0.2">
      <c r="H446" s="802" t="s">
        <v>1209</v>
      </c>
    </row>
  </sheetData>
  <sheetProtection algorithmName="SHA-512" hashValue="YJZkcbPBc55euRP6J0fgriBA9ISdnCwhdtRXrQWLPWWvvVw6j1YkM9Ho907DrDlTNOmw3e2rr7yhThtq9hAk0g==" saltValue="tO4tGTv0hWD2jY2cyNCzdg==" spinCount="100000" sheet="1" objects="1" scenarios="1"/>
  <mergeCells count="48">
    <mergeCell ref="B244:F244"/>
    <mergeCell ref="A364:G364"/>
    <mergeCell ref="J364:P364"/>
    <mergeCell ref="P391:Q391"/>
    <mergeCell ref="I389:K389"/>
    <mergeCell ref="M389:O389"/>
    <mergeCell ref="B389:G389"/>
    <mergeCell ref="B246:F246"/>
    <mergeCell ref="A387:G387"/>
    <mergeCell ref="A256:G256"/>
    <mergeCell ref="A292:G292"/>
    <mergeCell ref="A315:G315"/>
    <mergeCell ref="B294:C294"/>
    <mergeCell ref="G257:I257"/>
    <mergeCell ref="A341:G341"/>
    <mergeCell ref="C1:F1"/>
    <mergeCell ref="C3:F3"/>
    <mergeCell ref="C4:F4"/>
    <mergeCell ref="C5:F5"/>
    <mergeCell ref="A152:F152"/>
    <mergeCell ref="A153:F153"/>
    <mergeCell ref="G235:H235"/>
    <mergeCell ref="A151:F151"/>
    <mergeCell ref="C2:F2"/>
    <mergeCell ref="A93:F93"/>
    <mergeCell ref="A50:F50"/>
    <mergeCell ref="A234:F234"/>
    <mergeCell ref="A52:F52"/>
    <mergeCell ref="A53:F53"/>
    <mergeCell ref="B207:G207"/>
    <mergeCell ref="A150:F150"/>
    <mergeCell ref="A155:D155"/>
    <mergeCell ref="A198:F198"/>
    <mergeCell ref="M13:N13"/>
    <mergeCell ref="C6:F6"/>
    <mergeCell ref="A10:F10"/>
    <mergeCell ref="A49:F49"/>
    <mergeCell ref="F57:G57"/>
    <mergeCell ref="A45:I45"/>
    <mergeCell ref="G14:I14"/>
    <mergeCell ref="P209:Q209"/>
    <mergeCell ref="J198:O198"/>
    <mergeCell ref="A199:F199"/>
    <mergeCell ref="J199:O199"/>
    <mergeCell ref="A200:F200"/>
    <mergeCell ref="A201:F201"/>
    <mergeCell ref="I207:K207"/>
    <mergeCell ref="M207:O207"/>
  </mergeCells>
  <phoneticPr fontId="12" type="noConversion"/>
  <conditionalFormatting sqref="A152 A153:XFD153">
    <cfRule type="cellIs" dxfId="154" priority="74" operator="equal">
      <formula>"Answer Required"</formula>
    </cfRule>
  </conditionalFormatting>
  <conditionalFormatting sqref="A155:A156">
    <cfRule type="cellIs" dxfId="153" priority="72" operator="equal">
      <formula>"Answer Required"</formula>
    </cfRule>
  </conditionalFormatting>
  <conditionalFormatting sqref="A158:A171">
    <cfRule type="cellIs" dxfId="152" priority="70" operator="equal">
      <formula>"Answer Required"</formula>
    </cfRule>
  </conditionalFormatting>
  <conditionalFormatting sqref="A177:A178">
    <cfRule type="cellIs" dxfId="151" priority="46" operator="equal">
      <formula>"Answer Required"</formula>
    </cfRule>
  </conditionalFormatting>
  <conditionalFormatting sqref="A180:A193">
    <cfRule type="cellIs" dxfId="150" priority="4" operator="equal">
      <formula>"Answer Required"</formula>
    </cfRule>
  </conditionalFormatting>
  <conditionalFormatting sqref="A198 A199:H199">
    <cfRule type="cellIs" dxfId="149" priority="40" operator="equal">
      <formula>"Answer Required"</formula>
    </cfRule>
  </conditionalFormatting>
  <conditionalFormatting sqref="A200 A201:H201">
    <cfRule type="cellIs" dxfId="148" priority="38" operator="equal">
      <formula>"Answer Required"</formula>
    </cfRule>
  </conditionalFormatting>
  <conditionalFormatting sqref="A367:A381">
    <cfRule type="cellIs" dxfId="147" priority="20" operator="equal">
      <formula>"Answer Required"</formula>
    </cfRule>
  </conditionalFormatting>
  <conditionalFormatting sqref="A389:B389">
    <cfRule type="cellIs" dxfId="146" priority="76" operator="equal">
      <formula>"Answer Required"</formula>
    </cfRule>
  </conditionalFormatting>
  <conditionalFormatting sqref="A364:G366 B367:G379">
    <cfRule type="cellIs" dxfId="145" priority="21" operator="equal">
      <formula>"Answer Required"</formula>
    </cfRule>
  </conditionalFormatting>
  <conditionalFormatting sqref="A195:H196">
    <cfRule type="cellIs" dxfId="144" priority="45" operator="equal">
      <formula>"Answer Required"</formula>
    </cfRule>
  </conditionalFormatting>
  <conditionalFormatting sqref="A21:I22">
    <cfRule type="cellIs" dxfId="143" priority="95" operator="equal">
      <formula>"Answer Required"</formula>
    </cfRule>
  </conditionalFormatting>
  <conditionalFormatting sqref="A25:I27">
    <cfRule type="cellIs" dxfId="142" priority="93" operator="equal">
      <formula>"Answer Required"</formula>
    </cfRule>
  </conditionalFormatting>
  <conditionalFormatting sqref="A30:I30">
    <cfRule type="cellIs" dxfId="141" priority="92" operator="equal">
      <formula>"Answer Required"</formula>
    </cfRule>
  </conditionalFormatting>
  <conditionalFormatting sqref="A38:I42">
    <cfRule type="cellIs" dxfId="140" priority="91" operator="equal">
      <formula>"Answer Required"</formula>
    </cfRule>
  </conditionalFormatting>
  <conditionalFormatting sqref="A382:Q383">
    <cfRule type="cellIs" dxfId="139" priority="5" operator="equal">
      <formula>"Answer Required"</formula>
    </cfRule>
  </conditionalFormatting>
  <conditionalFormatting sqref="A1:XFD13 J14:XFD14 A14:F15 K21:XFD22 A23:XFD24 K25:XFD27 A28:XFD29 K30:XFD32 A31:D36 E33:XFD36 A37:XFD37 K38:XFD42 A43:XFD149 A150 A151:XFD151 F193:H194 A202:XFD206 A207:B207 H207:I207 P207:XFD208 A208:L229 R209:XFD209 A230:XFD256 J257:XFD257 A257:F285 K258:XFD285 P389:XFD390 A390:H413 R391:XFD391 P392:XFD413 A414:XFD1048576">
    <cfRule type="cellIs" dxfId="138" priority="101" operator="equal">
      <formula>"Answer Required"</formula>
    </cfRule>
  </conditionalFormatting>
  <conditionalFormatting sqref="A16:XFD20">
    <cfRule type="cellIs" dxfId="137" priority="50" operator="equal">
      <formula>"Answer Required"</formula>
    </cfRule>
  </conditionalFormatting>
  <conditionalFormatting sqref="A174:XFD176">
    <cfRule type="cellIs" dxfId="136" priority="71" operator="equal">
      <formula>"Answer Required"</formula>
    </cfRule>
  </conditionalFormatting>
  <conditionalFormatting sqref="A197:XFD197 I198:I201">
    <cfRule type="cellIs" dxfId="135" priority="47" operator="equal">
      <formula>"Answer Required"</formula>
    </cfRule>
  </conditionalFormatting>
  <conditionalFormatting sqref="A286:XFD363">
    <cfRule type="cellIs" dxfId="134" priority="2" operator="equal">
      <formula>"Answer Required"</formula>
    </cfRule>
  </conditionalFormatting>
  <conditionalFormatting sqref="B173">
    <cfRule type="cellIs" dxfId="133" priority="69" operator="equal">
      <formula>"Answer Required"</formula>
    </cfRule>
  </conditionalFormatting>
  <conditionalFormatting sqref="B180:D194">
    <cfRule type="cellIs" dxfId="132" priority="34" operator="equal">
      <formula>"Answer Required"</formula>
    </cfRule>
  </conditionalFormatting>
  <conditionalFormatting sqref="B380:I381">
    <cfRule type="cellIs" dxfId="131" priority="8" operator="equal">
      <formula>"Answer Required"</formula>
    </cfRule>
  </conditionalFormatting>
  <conditionalFormatting sqref="E31:J32">
    <cfRule type="cellIs" dxfId="130" priority="55" operator="equal">
      <formula>"Answer Required"</formula>
    </cfRule>
  </conditionalFormatting>
  <conditionalFormatting sqref="F157:F159">
    <cfRule type="cellIs" dxfId="129" priority="65" operator="equal">
      <formula>"Answer Required"</formula>
    </cfRule>
  </conditionalFormatting>
  <conditionalFormatting sqref="F179:F181">
    <cfRule type="cellIs" dxfId="128" priority="42" operator="equal">
      <formula>"Answer Required"</formula>
    </cfRule>
  </conditionalFormatting>
  <conditionalFormatting sqref="F339">
    <cfRule type="cellIs" dxfId="127" priority="99" operator="equal">
      <formula>"Error"</formula>
    </cfRule>
  </conditionalFormatting>
  <conditionalFormatting sqref="G14">
    <cfRule type="cellIs" dxfId="126" priority="98" operator="equal">
      <formula>"Answer Required"</formula>
    </cfRule>
  </conditionalFormatting>
  <conditionalFormatting sqref="G257">
    <cfRule type="cellIs" dxfId="125" priority="84" operator="equal">
      <formula>"Answer Required"</formula>
    </cfRule>
  </conditionalFormatting>
  <conditionalFormatting sqref="G198:H198">
    <cfRule type="cellIs" dxfId="124" priority="39" operator="equal">
      <formula>"Answer Required"</formula>
    </cfRule>
  </conditionalFormatting>
  <conditionalFormatting sqref="G200:H200">
    <cfRule type="cellIs" dxfId="123" priority="37" operator="equal">
      <formula>"Answer Required"</formula>
    </cfRule>
  </conditionalFormatting>
  <conditionalFormatting sqref="G264:I265">
    <cfRule type="cellIs" dxfId="122" priority="88" operator="equal">
      <formula>"Answer Required"</formula>
    </cfRule>
  </conditionalFormatting>
  <conditionalFormatting sqref="G268:I270">
    <cfRule type="cellIs" dxfId="121" priority="87" operator="equal">
      <formula>"Answer Required"</formula>
    </cfRule>
  </conditionalFormatting>
  <conditionalFormatting sqref="G273:I273">
    <cfRule type="cellIs" dxfId="120" priority="86" operator="equal">
      <formula>"Answer Required"</formula>
    </cfRule>
  </conditionalFormatting>
  <conditionalFormatting sqref="G281:I285">
    <cfRule type="cellIs" dxfId="119" priority="85" operator="equal">
      <formula>"Answer Required"</formula>
    </cfRule>
  </conditionalFormatting>
  <conditionalFormatting sqref="G258:J263">
    <cfRule type="cellIs" dxfId="118" priority="89" operator="equal">
      <formula>"Answer Required"</formula>
    </cfRule>
  </conditionalFormatting>
  <conditionalFormatting sqref="G266:J267 G271:J272">
    <cfRule type="cellIs" dxfId="117" priority="90" operator="equal">
      <formula>"Answer Required"</formula>
    </cfRule>
  </conditionalFormatting>
  <conditionalFormatting sqref="G274:J280">
    <cfRule type="cellIs" dxfId="116" priority="53" operator="equal">
      <formula>"Answer Required"</formula>
    </cfRule>
  </conditionalFormatting>
  <conditionalFormatting sqref="G15:XFD15">
    <cfRule type="cellIs" dxfId="115" priority="97" operator="equal">
      <formula>"Answer Required"</formula>
    </cfRule>
  </conditionalFormatting>
  <conditionalFormatting sqref="G150:XFD150">
    <cfRule type="cellIs" dxfId="114" priority="75" operator="equal">
      <formula>"Answer Required"</formula>
    </cfRule>
  </conditionalFormatting>
  <conditionalFormatting sqref="G152:XFD152">
    <cfRule type="cellIs" dxfId="113" priority="73" operator="equal">
      <formula>"Answer Required"</formula>
    </cfRule>
  </conditionalFormatting>
  <conditionalFormatting sqref="H145">
    <cfRule type="cellIs" dxfId="112" priority="63" operator="equal">
      <formula>"Error"</formula>
    </cfRule>
  </conditionalFormatting>
  <conditionalFormatting sqref="H332">
    <cfRule type="cellIs" dxfId="111" priority="59" operator="equal">
      <formula>"Error"</formula>
    </cfRule>
  </conditionalFormatting>
  <conditionalFormatting sqref="H364:I379 R364:XFD383 A384:XFD388">
    <cfRule type="cellIs" dxfId="110" priority="22" operator="equal">
      <formula>"Answer Required"</formula>
    </cfRule>
  </conditionalFormatting>
  <conditionalFormatting sqref="H389:I389 I390:L411 I412:O413">
    <cfRule type="cellIs" dxfId="109" priority="80" operator="equal">
      <formula>"Answer Required"</formula>
    </cfRule>
  </conditionalFormatting>
  <conditionalFormatting sqref="I177:I196 R177:XFD196">
    <cfRule type="cellIs" dxfId="108" priority="48" operator="equal">
      <formula>"Answer Required"</formula>
    </cfRule>
  </conditionalFormatting>
  <conditionalFormatting sqref="J177:J178">
    <cfRule type="cellIs" dxfId="107" priority="33" operator="equal">
      <formula>"Answer Required"</formula>
    </cfRule>
  </conditionalFormatting>
  <conditionalFormatting sqref="J180:J193">
    <cfRule type="cellIs" dxfId="106" priority="3" operator="equal">
      <formula>"Answer Required"</formula>
    </cfRule>
  </conditionalFormatting>
  <conditionalFormatting sqref="J198 J199:XFD201">
    <cfRule type="cellIs" dxfId="105" priority="24" operator="equal">
      <formula>"Answer Required"</formula>
    </cfRule>
  </conditionalFormatting>
  <conditionalFormatting sqref="J364:J365">
    <cfRule type="cellIs" dxfId="104" priority="17" operator="equal">
      <formula>"Answer Required"</formula>
    </cfRule>
  </conditionalFormatting>
  <conditionalFormatting sqref="J367:J380">
    <cfRule type="cellIs" dxfId="103" priority="1" operator="equal">
      <formula>"Answer Required"</formula>
    </cfRule>
  </conditionalFormatting>
  <conditionalFormatting sqref="J195:Q196">
    <cfRule type="cellIs" dxfId="102" priority="23" operator="equal">
      <formula>"Answer Required"</formula>
    </cfRule>
  </conditionalFormatting>
  <conditionalFormatting sqref="K180:M194">
    <cfRule type="cellIs" dxfId="101" priority="25" operator="equal">
      <formula>"Answer Required"</formula>
    </cfRule>
  </conditionalFormatting>
  <conditionalFormatting sqref="K367:M381">
    <cfRule type="cellIs" dxfId="100" priority="7" operator="equal">
      <formula>"Answer Required"</formula>
    </cfRule>
  </conditionalFormatting>
  <conditionalFormatting sqref="L207:M207 M208:O208">
    <cfRule type="cellIs" dxfId="99" priority="83" operator="equal">
      <formula>"Answer Required"</formula>
    </cfRule>
  </conditionalFormatting>
  <conditionalFormatting sqref="L389:M389 M390:O390">
    <cfRule type="cellIs" dxfId="98" priority="79" operator="equal">
      <formula>"Answer Required"</formula>
    </cfRule>
  </conditionalFormatting>
  <conditionalFormatting sqref="M392:O411">
    <cfRule type="cellIs" dxfId="97" priority="78" operator="equal">
      <formula>"Answer Required"</formula>
    </cfRule>
  </conditionalFormatting>
  <conditionalFormatting sqref="M209:P209">
    <cfRule type="cellIs" dxfId="96" priority="81" operator="equal">
      <formula>"Answer Required"</formula>
    </cfRule>
  </conditionalFormatting>
  <conditionalFormatting sqref="M391:P391">
    <cfRule type="cellIs" dxfId="95" priority="77" operator="equal">
      <formula>"Answer Required"</formula>
    </cfRule>
  </conditionalFormatting>
  <conditionalFormatting sqref="M172:XFD172">
    <cfRule type="cellIs" dxfId="94" priority="64" operator="equal">
      <formula>"Answer Required"</formula>
    </cfRule>
  </conditionalFormatting>
  <conditionalFormatting sqref="M210:XFD229">
    <cfRule type="cellIs" dxfId="93" priority="82" operator="equal">
      <formula>"Answer Required"</formula>
    </cfRule>
  </conditionalFormatting>
  <conditionalFormatting sqref="O179:O181">
    <cfRule type="cellIs" dxfId="92" priority="29" operator="equal">
      <formula>"Answer Required"</formula>
    </cfRule>
  </conditionalFormatting>
  <conditionalFormatting sqref="O366:O368">
    <cfRule type="cellIs" dxfId="91" priority="13" operator="equal">
      <formula>"Answer Required"</formula>
    </cfRule>
  </conditionalFormatting>
  <conditionalFormatting sqref="O193:Q194">
    <cfRule type="cellIs" dxfId="90" priority="27" operator="equal">
      <formula>"Answer Required"</formula>
    </cfRule>
  </conditionalFormatting>
  <conditionalFormatting sqref="O380:Q381">
    <cfRule type="cellIs" dxfId="89" priority="11" operator="equal">
      <formula>"Answer Required"</formula>
    </cfRule>
  </conditionalFormatting>
  <conditionalFormatting sqref="P198:XFD198">
    <cfRule type="cellIs" dxfId="88" priority="6" operator="equal">
      <formula>"Answer Required"</formula>
    </cfRule>
  </conditionalFormatting>
  <dataValidations xWindow="464" yWindow="340" count="7">
    <dataValidation type="whole" allowBlank="1" showInputMessage="1" showErrorMessage="1" error="Enter whole number." sqref="F332:G333 F281:I285 B281:D285 B318:C331 B273:D279 B268:D270 B264:D265 F194:G194 B211:D228 B131:C144 B290:D290 G248:G251 F237:F238 B393:D410 B30:D36 F25:I27 G273:I273 B21:D22 F145:G146 I393:J410 B296:C310 B47:D47 I211:J228 G30:I30 B109:C123 M21:N22 M25:N27 F38:I42 F21:I22 B25:D27 B38:D42 F264:I265 F268:I270 B344:C357 B16:D19 O194:P194 B259:D262 B367:C380 F381:G381 O381:P381" xr:uid="{00000000-0002-0000-0D00-000000000000}">
      <formula1>-100000000000000000000</formula1>
      <formula2>1000000000000000000</formula2>
    </dataValidation>
    <dataValidation allowBlank="1" showInputMessage="1" error="Select institution number-institution acronym from the drop-down list." sqref="H57" xr:uid="{00000000-0002-0000-0D00-000001000000}"/>
    <dataValidation allowBlank="1" showInputMessage="1" showErrorMessage="1" error="Enter whole number." sqref="A252:E254 F252 G252:H254" xr:uid="{00000000-0002-0000-0D00-000002000000}"/>
    <dataValidation type="whole" allowBlank="1" showInputMessage="1" showErrorMessage="1" error="Enter a 3-digit agency control number." sqref="C1:F1" xr:uid="{00000000-0002-0000-0D00-000003000000}">
      <formula1>100</formula1>
      <formula2>999</formula2>
    </dataValidation>
    <dataValidation type="whole" allowBlank="1" showErrorMessage="1" error="Please enter a whole number." sqref="B158:C171 B180:C193 K180:L193 K367:L380" xr:uid="{00000000-0002-0000-0D00-000004000000}">
      <formula1>-9999999999999</formula1>
      <formula2>9999999999999</formula2>
    </dataValidation>
    <dataValidation type="whole" allowBlank="1" showInputMessage="1" showErrorMessage="1" sqref="C173:D173 D158:D171 C194:D194 D180:D193 K194:M194 M180:M193 M367:M380 L381:M381" xr:uid="{00000000-0002-0000-0D00-000005000000}">
      <formula1>-9999999999999</formula1>
      <formula2>9999999999999</formula2>
    </dataValidation>
    <dataValidation type="list" allowBlank="1" showInputMessage="1" showErrorMessage="1" error="Enter Yes or No." sqref="H150 H152 H198 H200 Q198" xr:uid="{00000000-0002-0000-0D00-000006000000}">
      <formula1>"yes,no"</formula1>
    </dataValidation>
  </dataValidations>
  <printOptions gridLines="1"/>
  <pageMargins left="0.7" right="0.7" top="0.75" bottom="0.75" header="0.3" footer="0.3"/>
  <pageSetup paperSize="5" scale="50" fitToHeight="0" orientation="landscape" cellComments="asDisplayed" r:id="rId1"/>
  <headerFooter alignWithMargins="0">
    <oddHeader>&amp;C&amp;"Arial,Bold"&amp;11Attachment HE-10
Financial Statement Template
&amp;A</oddHeader>
    <oddFooter>&amp;L&amp;"Arial,Regular"&amp;F \ &amp;A&amp;R&amp;"Arial,Regular"Page &amp;P</oddFooter>
  </headerFooter>
  <rowBreaks count="11" manualBreakCount="11">
    <brk id="45" max="16" man="1"/>
    <brk id="54" max="16" man="1"/>
    <brk id="95" max="16" man="1"/>
    <brk id="127" max="16" man="1"/>
    <brk id="153" max="16" man="1"/>
    <brk id="201" max="16383" man="1"/>
    <brk id="254" max="16" man="1"/>
    <brk id="291" max="16" man="1"/>
    <brk id="314" max="16383" man="1"/>
    <brk id="362" max="16" man="1"/>
    <brk id="386"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47"/>
  <sheetViews>
    <sheetView showGridLines="0" zoomScaleNormal="100" zoomScaleSheetLayoutView="75" workbookViewId="0"/>
  </sheetViews>
  <sheetFormatPr defaultColWidth="9.33203125" defaultRowHeight="12.75" x14ac:dyDescent="0.2"/>
  <cols>
    <col min="1" max="1" width="37.83203125" style="134" customWidth="1"/>
    <col min="2" max="2" width="17" style="134" customWidth="1"/>
    <col min="3" max="3" width="9.33203125" style="134"/>
    <col min="4" max="4" width="33.83203125" style="134" customWidth="1"/>
    <col min="5" max="5" width="22.5" style="134" customWidth="1"/>
    <col min="6" max="16384" width="9.33203125" style="134"/>
  </cols>
  <sheetData>
    <row r="1" spans="1:7" x14ac:dyDescent="0.2">
      <c r="A1" s="824" t="s">
        <v>1155</v>
      </c>
      <c r="C1" s="1350">
        <f>FST!E1</f>
        <v>0</v>
      </c>
      <c r="D1" s="1351"/>
      <c r="E1" s="1352"/>
    </row>
    <row r="2" spans="1:7" s="85" customFormat="1" ht="39.75" customHeight="1" x14ac:dyDescent="0.2">
      <c r="A2" s="824" t="s">
        <v>770</v>
      </c>
      <c r="B2" s="125"/>
      <c r="C2" s="1350" t="str">
        <f>FST!E2</f>
        <v/>
      </c>
      <c r="D2" s="1351"/>
      <c r="E2" s="1352"/>
      <c r="F2" s="161"/>
      <c r="G2" s="126"/>
    </row>
    <row r="3" spans="1:7" s="85" customFormat="1" x14ac:dyDescent="0.2">
      <c r="A3" s="824" t="s">
        <v>771</v>
      </c>
      <c r="B3" s="125"/>
      <c r="C3" s="1362">
        <f>FST!E3</f>
        <v>0</v>
      </c>
      <c r="D3" s="1363"/>
      <c r="E3" s="1364"/>
      <c r="F3" s="161"/>
      <c r="G3" s="126"/>
    </row>
    <row r="4" spans="1:7" s="85" customFormat="1" ht="15" customHeight="1" x14ac:dyDescent="0.2">
      <c r="A4" s="824" t="s">
        <v>773</v>
      </c>
      <c r="B4" s="125"/>
      <c r="C4" s="1365">
        <f>FST!E4</f>
        <v>0</v>
      </c>
      <c r="D4" s="1366"/>
      <c r="E4" s="1367"/>
      <c r="F4" s="161"/>
      <c r="G4" s="126"/>
    </row>
    <row r="5" spans="1:7" s="85" customFormat="1" ht="12.75" customHeight="1" x14ac:dyDescent="0.2">
      <c r="A5" s="825" t="s">
        <v>774</v>
      </c>
      <c r="B5" s="125"/>
      <c r="C5" s="1362">
        <f>FST!E5</f>
        <v>0</v>
      </c>
      <c r="D5" s="1363"/>
      <c r="E5" s="1364"/>
      <c r="F5" s="161"/>
      <c r="G5" s="126"/>
    </row>
    <row r="6" spans="1:7" s="85" customFormat="1" ht="12.6" customHeight="1" x14ac:dyDescent="0.2">
      <c r="A6" s="826" t="s">
        <v>775</v>
      </c>
      <c r="B6" s="77"/>
      <c r="C6" s="1340">
        <f>FST!E6</f>
        <v>0</v>
      </c>
      <c r="D6" s="1341"/>
      <c r="E6" s="1342"/>
      <c r="F6" s="162"/>
      <c r="G6" s="102"/>
    </row>
    <row r="7" spans="1:7" s="78" customFormat="1" ht="12.6" customHeight="1" x14ac:dyDescent="0.2">
      <c r="A7" s="827" t="s">
        <v>896</v>
      </c>
      <c r="B7" s="77"/>
      <c r="C7" s="77"/>
      <c r="D7" s="77"/>
      <c r="F7" s="79"/>
      <c r="G7" s="127"/>
    </row>
    <row r="8" spans="1:7" s="78" customFormat="1" ht="12.6" customHeight="1" x14ac:dyDescent="0.2">
      <c r="A8" s="827" t="s">
        <v>1734</v>
      </c>
      <c r="B8" s="77"/>
      <c r="C8" s="77"/>
      <c r="D8" s="77"/>
      <c r="F8" s="79"/>
      <c r="G8" s="127"/>
    </row>
    <row r="9" spans="1:7" s="78" customFormat="1" ht="12.6" customHeight="1" x14ac:dyDescent="0.2">
      <c r="A9" s="827"/>
      <c r="B9" s="77"/>
      <c r="C9" s="77"/>
      <c r="D9" s="77"/>
      <c r="F9" s="79"/>
      <c r="G9" s="127"/>
    </row>
    <row r="10" spans="1:7" s="78" customFormat="1" ht="87.75" customHeight="1" x14ac:dyDescent="0.2">
      <c r="A10" s="1377" t="s">
        <v>1706</v>
      </c>
      <c r="B10" s="1343"/>
      <c r="C10" s="1343"/>
      <c r="D10" s="1343"/>
      <c r="E10" s="1343"/>
      <c r="F10" s="132"/>
      <c r="G10" s="127"/>
    </row>
    <row r="11" spans="1:7" s="78" customFormat="1" ht="12" x14ac:dyDescent="0.2">
      <c r="A11" s="163"/>
      <c r="B11" s="955"/>
      <c r="C11" s="955"/>
      <c r="D11" s="955"/>
      <c r="E11" s="163"/>
      <c r="F11" s="132"/>
      <c r="G11" s="127"/>
    </row>
    <row r="12" spans="1:7" s="78" customFormat="1" ht="102" customHeight="1" x14ac:dyDescent="0.2">
      <c r="A12" s="1375" t="s">
        <v>1762</v>
      </c>
      <c r="B12" s="1376"/>
      <c r="C12" s="1376"/>
      <c r="D12" s="1376"/>
      <c r="E12" s="1058" t="s">
        <v>1038</v>
      </c>
      <c r="F12" s="132"/>
      <c r="G12" s="127"/>
    </row>
    <row r="13" spans="1:7" s="78" customFormat="1" ht="25.5" x14ac:dyDescent="0.2">
      <c r="A13" s="1052" t="s">
        <v>681</v>
      </c>
      <c r="B13" s="646"/>
      <c r="C13" s="646"/>
      <c r="D13" s="646"/>
      <c r="E13" s="1053" t="s">
        <v>1761</v>
      </c>
      <c r="F13" s="132"/>
      <c r="G13" s="127"/>
    </row>
    <row r="14" spans="1:7" s="78" customFormat="1" ht="24.75" customHeight="1" x14ac:dyDescent="0.2">
      <c r="A14" s="1378" t="s">
        <v>685</v>
      </c>
      <c r="B14" s="1217"/>
      <c r="C14" s="1217"/>
      <c r="D14" s="1217"/>
      <c r="E14" s="1054"/>
      <c r="F14" s="132"/>
      <c r="G14" s="127"/>
    </row>
    <row r="15" spans="1:7" s="78" customFormat="1" ht="27.75" customHeight="1" x14ac:dyDescent="0.2">
      <c r="A15" s="1373"/>
      <c r="B15" s="1374"/>
      <c r="C15" s="1374"/>
      <c r="D15" s="1374"/>
      <c r="E15" s="1054"/>
      <c r="F15" s="132"/>
      <c r="G15" s="127"/>
    </row>
    <row r="16" spans="1:7" s="78" customFormat="1" ht="27.75" customHeight="1" x14ac:dyDescent="0.2">
      <c r="A16" s="1373"/>
      <c r="B16" s="1374"/>
      <c r="C16" s="1374"/>
      <c r="D16" s="1374"/>
      <c r="E16" s="1054"/>
      <c r="F16" s="132"/>
      <c r="G16" s="127"/>
    </row>
    <row r="17" spans="1:7" s="78" customFormat="1" ht="27.75" customHeight="1" x14ac:dyDescent="0.2">
      <c r="A17" s="1373"/>
      <c r="B17" s="1374"/>
      <c r="C17" s="1374"/>
      <c r="D17" s="1374"/>
      <c r="E17" s="1054"/>
      <c r="F17" s="132"/>
      <c r="G17" s="127"/>
    </row>
    <row r="18" spans="1:7" s="78" customFormat="1" ht="27.75" customHeight="1" x14ac:dyDescent="0.2">
      <c r="A18" s="1373"/>
      <c r="B18" s="1374"/>
      <c r="C18" s="1374"/>
      <c r="D18" s="1374"/>
      <c r="E18" s="1054"/>
      <c r="F18" s="132"/>
      <c r="G18" s="127"/>
    </row>
    <row r="19" spans="1:7" s="78" customFormat="1" ht="27.75" customHeight="1" x14ac:dyDescent="0.2">
      <c r="A19" s="1373"/>
      <c r="B19" s="1374"/>
      <c r="C19" s="1374"/>
      <c r="D19" s="1374"/>
      <c r="E19" s="1054"/>
      <c r="F19" s="132"/>
      <c r="G19" s="127"/>
    </row>
    <row r="20" spans="1:7" s="78" customFormat="1" ht="6.75" customHeight="1" x14ac:dyDescent="0.2">
      <c r="A20" s="955"/>
      <c r="B20" s="955"/>
      <c r="C20" s="955"/>
      <c r="D20" s="955"/>
      <c r="E20" s="163"/>
      <c r="F20" s="132"/>
      <c r="G20" s="127"/>
    </row>
    <row r="21" spans="1:7" s="78" customFormat="1" ht="120" customHeight="1" x14ac:dyDescent="0.2">
      <c r="A21" s="1376" t="s">
        <v>1829</v>
      </c>
      <c r="B21" s="1376"/>
      <c r="C21" s="1376"/>
      <c r="D21" s="1376"/>
      <c r="E21" s="1058" t="s">
        <v>1038</v>
      </c>
      <c r="F21" s="132"/>
      <c r="G21" s="127"/>
    </row>
    <row r="22" spans="1:7" s="78" customFormat="1" ht="24" customHeight="1" x14ac:dyDescent="0.2">
      <c r="A22" s="1055" t="s">
        <v>1532</v>
      </c>
      <c r="B22" s="1055"/>
      <c r="C22" s="1055"/>
      <c r="D22" s="1055"/>
      <c r="E22" s="1056" t="s">
        <v>297</v>
      </c>
      <c r="F22" s="132"/>
      <c r="G22" s="127"/>
    </row>
    <row r="23" spans="1:7" s="78" customFormat="1" ht="24" customHeight="1" x14ac:dyDescent="0.2">
      <c r="A23" s="1373"/>
      <c r="B23" s="1374"/>
      <c r="C23" s="1374"/>
      <c r="D23" s="1374"/>
      <c r="E23" s="1054"/>
      <c r="F23" s="132"/>
      <c r="G23" s="127"/>
    </row>
    <row r="24" spans="1:7" s="78" customFormat="1" ht="24" customHeight="1" x14ac:dyDescent="0.2">
      <c r="A24" s="1373"/>
      <c r="B24" s="1374"/>
      <c r="C24" s="1374"/>
      <c r="D24" s="1374"/>
      <c r="E24" s="1054"/>
      <c r="F24" s="132"/>
      <c r="G24" s="127"/>
    </row>
    <row r="25" spans="1:7" s="78" customFormat="1" ht="24" customHeight="1" x14ac:dyDescent="0.2">
      <c r="A25" s="1373"/>
      <c r="B25" s="1374"/>
      <c r="C25" s="1374"/>
      <c r="D25" s="1374"/>
      <c r="E25" s="1054"/>
      <c r="F25" s="132"/>
      <c r="G25" s="127"/>
    </row>
    <row r="26" spans="1:7" s="78" customFormat="1" ht="24" customHeight="1" x14ac:dyDescent="0.2">
      <c r="A26" s="1373"/>
      <c r="B26" s="1374"/>
      <c r="C26" s="1374"/>
      <c r="D26" s="1374"/>
      <c r="E26" s="1054"/>
      <c r="F26" s="132"/>
      <c r="G26" s="127"/>
    </row>
    <row r="27" spans="1:7" s="78" customFormat="1" ht="24" customHeight="1" x14ac:dyDescent="0.2">
      <c r="A27" s="1373"/>
      <c r="B27" s="1374"/>
      <c r="C27" s="1374"/>
      <c r="D27" s="1374"/>
      <c r="E27" s="1054"/>
      <c r="F27" s="132"/>
      <c r="G27" s="127"/>
    </row>
    <row r="28" spans="1:7" s="78" customFormat="1" ht="10.5" customHeight="1" x14ac:dyDescent="0.2">
      <c r="A28" s="955"/>
      <c r="B28" s="955"/>
      <c r="C28" s="955"/>
      <c r="D28" s="955"/>
      <c r="F28" s="132"/>
      <c r="G28" s="127"/>
    </row>
    <row r="29" spans="1:7" ht="81" customHeight="1" x14ac:dyDescent="0.2">
      <c r="A29" s="1370" t="s">
        <v>1830</v>
      </c>
      <c r="B29" s="1371"/>
      <c r="C29" s="1371"/>
      <c r="D29" s="1372"/>
      <c r="E29" s="1058" t="s">
        <v>1038</v>
      </c>
    </row>
    <row r="30" spans="1:7" ht="26.25" customHeight="1" x14ac:dyDescent="0.2">
      <c r="A30" s="1001"/>
      <c r="B30" s="1001"/>
      <c r="C30" s="1001"/>
      <c r="D30" s="1057" t="s">
        <v>1533</v>
      </c>
      <c r="E30" s="164"/>
    </row>
    <row r="31" spans="1:7" ht="6.75" customHeight="1" x14ac:dyDescent="0.2">
      <c r="A31" s="646"/>
    </row>
    <row r="32" spans="1:7" s="78" customFormat="1" ht="120" customHeight="1" x14ac:dyDescent="0.2">
      <c r="A32" s="1376" t="s">
        <v>1844</v>
      </c>
      <c r="B32" s="1376"/>
      <c r="C32" s="1376"/>
      <c r="D32" s="1376"/>
      <c r="E32" s="1058" t="s">
        <v>1038</v>
      </c>
      <c r="F32" s="132"/>
      <c r="G32" s="127"/>
    </row>
    <row r="33" spans="1:7" ht="26.25" customHeight="1" x14ac:dyDescent="0.2">
      <c r="A33" s="1379" t="s">
        <v>1614</v>
      </c>
      <c r="B33" s="1379"/>
      <c r="C33" s="1379"/>
      <c r="D33" s="1379"/>
      <c r="E33" s="1054"/>
    </row>
    <row r="35" spans="1:7" s="78" customFormat="1" ht="130.5" customHeight="1" x14ac:dyDescent="0.2">
      <c r="A35" s="1376" t="s">
        <v>1831</v>
      </c>
      <c r="B35" s="1376"/>
      <c r="C35" s="1376"/>
      <c r="D35" s="1376"/>
      <c r="E35" s="1058" t="s">
        <v>1038</v>
      </c>
      <c r="F35" s="132"/>
      <c r="G35" s="127"/>
    </row>
    <row r="36" spans="1:7" x14ac:dyDescent="0.2">
      <c r="A36" s="646" t="s">
        <v>681</v>
      </c>
      <c r="E36" s="646" t="s">
        <v>1613</v>
      </c>
    </row>
    <row r="37" spans="1:7" hidden="1" x14ac:dyDescent="0.2"/>
    <row r="38" spans="1:7" hidden="1" x14ac:dyDescent="0.2">
      <c r="E38" s="134" t="s">
        <v>375</v>
      </c>
    </row>
    <row r="39" spans="1:7" hidden="1" x14ac:dyDescent="0.2">
      <c r="E39" s="134" t="s">
        <v>687</v>
      </c>
    </row>
    <row r="40" spans="1:7" hidden="1" x14ac:dyDescent="0.2">
      <c r="E40" s="134" t="s">
        <v>688</v>
      </c>
    </row>
    <row r="41" spans="1:7" hidden="1" x14ac:dyDescent="0.2">
      <c r="E41" s="646" t="s">
        <v>339</v>
      </c>
    </row>
    <row r="42" spans="1:7" hidden="1" x14ac:dyDescent="0.2"/>
    <row r="43" spans="1:7" x14ac:dyDescent="0.2">
      <c r="A43" s="1373"/>
      <c r="B43" s="1374"/>
      <c r="C43" s="1374"/>
      <c r="D43" s="1374"/>
      <c r="E43" s="1054"/>
    </row>
    <row r="44" spans="1:7" x14ac:dyDescent="0.2">
      <c r="A44" s="1373"/>
      <c r="B44" s="1374"/>
      <c r="C44" s="1374"/>
      <c r="D44" s="1374"/>
      <c r="E44" s="1054"/>
    </row>
    <row r="45" spans="1:7" x14ac:dyDescent="0.2">
      <c r="A45" s="1373"/>
      <c r="B45" s="1374"/>
      <c r="C45" s="1374"/>
      <c r="D45" s="1374"/>
      <c r="E45" s="1054"/>
    </row>
    <row r="46" spans="1:7" x14ac:dyDescent="0.2">
      <c r="A46" s="1373"/>
      <c r="B46" s="1374"/>
      <c r="C46" s="1374"/>
      <c r="D46" s="1374"/>
      <c r="E46" s="1054"/>
    </row>
    <row r="47" spans="1:7" x14ac:dyDescent="0.2">
      <c r="A47" s="1373"/>
      <c r="B47" s="1374"/>
      <c r="C47" s="1374"/>
      <c r="D47" s="1374"/>
      <c r="E47" s="1054"/>
    </row>
  </sheetData>
  <sheetProtection algorithmName="SHA-512" hashValue="04MFGqEyMtt6JMtuGG6jDS38Tf2DL8qAueekr/EoS9vc+3wUyJ7SSGGwNNbT+Po/0PS5qvoqvppfgvjIAUIj0g==" saltValue="aVTkhi0YnpCRgWXABkXVPw==" spinCount="100000" sheet="1" objects="1" scenarios="1"/>
  <mergeCells count="29">
    <mergeCell ref="A46:D46"/>
    <mergeCell ref="A47:D47"/>
    <mergeCell ref="A33:D33"/>
    <mergeCell ref="A32:D32"/>
    <mergeCell ref="A35:D35"/>
    <mergeCell ref="A43:D43"/>
    <mergeCell ref="A44:D44"/>
    <mergeCell ref="A45:D45"/>
    <mergeCell ref="C1:E1"/>
    <mergeCell ref="C6:E6"/>
    <mergeCell ref="C2:E2"/>
    <mergeCell ref="C3:E3"/>
    <mergeCell ref="C4:E4"/>
    <mergeCell ref="C5:E5"/>
    <mergeCell ref="A12:D12"/>
    <mergeCell ref="A21:D21"/>
    <mergeCell ref="A10:E10"/>
    <mergeCell ref="A14:D14"/>
    <mergeCell ref="A15:D15"/>
    <mergeCell ref="A16:D16"/>
    <mergeCell ref="A17:D17"/>
    <mergeCell ref="A29:D29"/>
    <mergeCell ref="A25:D25"/>
    <mergeCell ref="A26:D26"/>
    <mergeCell ref="A27:D27"/>
    <mergeCell ref="A18:D18"/>
    <mergeCell ref="A19:D19"/>
    <mergeCell ref="A23:D23"/>
    <mergeCell ref="A24:D24"/>
  </mergeCells>
  <phoneticPr fontId="12" type="noConversion"/>
  <conditionalFormatting sqref="E12 E21 E29">
    <cfRule type="cellIs" dxfId="87" priority="3" operator="equal">
      <formula>"Answer Required"</formula>
    </cfRule>
  </conditionalFormatting>
  <conditionalFormatting sqref="E32">
    <cfRule type="cellIs" dxfId="86" priority="2" operator="equal">
      <formula>"Answer Required"</formula>
    </cfRule>
  </conditionalFormatting>
  <conditionalFormatting sqref="E35">
    <cfRule type="cellIs" dxfId="85" priority="1" operator="equal">
      <formula>"Answer Required"</formula>
    </cfRule>
  </conditionalFormatting>
  <dataValidations xWindow="312" yWindow="303" count="3">
    <dataValidation type="whole" allowBlank="1" showInputMessage="1" showErrorMessage="1" error="Enter whole number." sqref="E14:E19 E23:E27 E30 E43:E47 E33" xr:uid="{00000000-0002-0000-0E00-000000000000}">
      <formula1>-10000000000000000</formula1>
      <formula2>100000000000000000</formula2>
    </dataValidation>
    <dataValidation type="list" allowBlank="1" showInputMessage="1" showErrorMessage="1" error="Enter yes or no." sqref="E29 E35 E21 E12 E32" xr:uid="{00000000-0002-0000-0E00-000001000000}">
      <formula1>$E$39:$E$40</formula1>
    </dataValidation>
    <dataValidation type="whole" allowBlank="1" showInputMessage="1" showErrorMessage="1" error="Enter a 3-digit agency control number." sqref="C1:E1" xr:uid="{00000000-0002-0000-0E00-000002000000}">
      <formula1>100</formula1>
      <formula2>999</formula2>
    </dataValidation>
  </dataValidations>
  <pageMargins left="0.7" right="0.7" top="1" bottom="0.75" header="0.3" footer="0.3"/>
  <pageSetup scale="51" orientation="portrait" cellComments="asDisplayed" r:id="rId1"/>
  <headerFooter alignWithMargins="0">
    <oddHeader>&amp;C&amp;"Arial,Bold"&amp;11Attachment HE-10
Financial Statement Template
&amp;A</oddHeader>
    <oddFooter>&amp;L&amp;"Arial,Regular"&amp;F \ &amp;A&amp;R&amp;"Arial,Regular"Page &amp;P</oddFooter>
  </headerFooter>
  <rowBreaks count="1" manualBreakCount="1">
    <brk id="30"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544"/>
  <sheetViews>
    <sheetView showGridLines="0" zoomScale="90" zoomScaleNormal="90" zoomScaleSheetLayoutView="100" workbookViewId="0"/>
  </sheetViews>
  <sheetFormatPr defaultColWidth="10.6640625" defaultRowHeight="12" x14ac:dyDescent="0.2"/>
  <cols>
    <col min="1" max="1" width="22.83203125" style="167" customWidth="1"/>
    <col min="2" max="2" width="20.1640625" style="168" customWidth="1"/>
    <col min="3" max="3" width="83.33203125" style="169" customWidth="1"/>
    <col min="4" max="4" width="4.83203125" style="167" customWidth="1"/>
    <col min="5" max="5" width="5.1640625" style="167" customWidth="1"/>
    <col min="6" max="6" width="3.6640625" style="167" customWidth="1"/>
    <col min="7" max="7" width="23.33203125" style="167" hidden="1" customWidth="1"/>
    <col min="8" max="8" width="26" style="167" hidden="1" customWidth="1"/>
    <col min="9" max="9" width="2.1640625" style="167" hidden="1" customWidth="1"/>
    <col min="10" max="10" width="3.5" style="167" hidden="1" customWidth="1"/>
    <col min="11" max="11" width="38.1640625" style="167" hidden="1" customWidth="1"/>
    <col min="12" max="13" width="10.6640625" style="167" hidden="1" customWidth="1"/>
    <col min="14" max="14" width="16.83203125" style="167" customWidth="1"/>
    <col min="15" max="15" width="15.5" style="167" customWidth="1"/>
    <col min="16" max="16384" width="10.6640625" style="167"/>
  </cols>
  <sheetData>
    <row r="1" spans="1:14" x14ac:dyDescent="0.2">
      <c r="A1" s="824" t="s">
        <v>1155</v>
      </c>
      <c r="C1" s="965">
        <f>FST!E1</f>
        <v>0</v>
      </c>
    </row>
    <row r="2" spans="1:14" s="33" customFormat="1" ht="37.5" customHeight="1" x14ac:dyDescent="0.2">
      <c r="A2" s="824" t="s">
        <v>770</v>
      </c>
      <c r="B2" s="31"/>
      <c r="C2" s="965" t="str">
        <f>FST!E2</f>
        <v/>
      </c>
      <c r="D2" s="31"/>
      <c r="E2" s="31"/>
      <c r="F2" s="31"/>
      <c r="G2" s="165" t="s">
        <v>85</v>
      </c>
      <c r="H2" s="165" t="s">
        <v>85</v>
      </c>
      <c r="K2" s="165" t="s">
        <v>85</v>
      </c>
      <c r="L2" s="282" t="s">
        <v>379</v>
      </c>
      <c r="M2" s="282" t="s">
        <v>377</v>
      </c>
    </row>
    <row r="3" spans="1:14" s="33" customFormat="1" ht="13.5" customHeight="1" x14ac:dyDescent="0.2">
      <c r="A3" s="824" t="s">
        <v>771</v>
      </c>
      <c r="B3" s="31"/>
      <c r="C3" s="966">
        <f>FST!E3</f>
        <v>0</v>
      </c>
      <c r="D3" s="31"/>
      <c r="E3" s="31"/>
      <c r="F3" s="31"/>
      <c r="G3" s="166" t="s">
        <v>87</v>
      </c>
      <c r="H3" s="166" t="s">
        <v>86</v>
      </c>
      <c r="K3" s="166" t="s">
        <v>88</v>
      </c>
      <c r="L3" s="283" t="s">
        <v>378</v>
      </c>
      <c r="M3" s="283" t="s">
        <v>378</v>
      </c>
    </row>
    <row r="4" spans="1:14" s="33" customFormat="1" ht="12.6" customHeight="1" x14ac:dyDescent="0.2">
      <c r="A4" s="824" t="s">
        <v>773</v>
      </c>
      <c r="B4" s="31"/>
      <c r="C4" s="1107">
        <f>FST!E4</f>
        <v>0</v>
      </c>
      <c r="D4" s="31"/>
      <c r="E4" s="31"/>
      <c r="F4" s="31"/>
      <c r="G4" s="10" t="s">
        <v>776</v>
      </c>
      <c r="H4" s="10" t="s">
        <v>68</v>
      </c>
      <c r="K4" s="33" t="s">
        <v>624</v>
      </c>
      <c r="L4" s="33" t="s">
        <v>155</v>
      </c>
      <c r="M4" s="33" t="s">
        <v>155</v>
      </c>
    </row>
    <row r="5" spans="1:14" s="33" customFormat="1" ht="12.6" customHeight="1" x14ac:dyDescent="0.2">
      <c r="A5" s="825" t="s">
        <v>774</v>
      </c>
      <c r="B5" s="31"/>
      <c r="C5" s="966">
        <f>FST!E5</f>
        <v>0</v>
      </c>
      <c r="D5" s="31"/>
      <c r="E5" s="31"/>
      <c r="F5" s="31"/>
      <c r="G5" s="10" t="s">
        <v>69</v>
      </c>
      <c r="H5" s="10" t="s">
        <v>70</v>
      </c>
      <c r="K5" s="33" t="s">
        <v>625</v>
      </c>
      <c r="L5" s="33" t="s">
        <v>156</v>
      </c>
      <c r="M5" s="33" t="s">
        <v>156</v>
      </c>
    </row>
    <row r="6" spans="1:14" s="33" customFormat="1" ht="12.6" customHeight="1" x14ac:dyDescent="0.2">
      <c r="A6" s="826" t="s">
        <v>775</v>
      </c>
      <c r="B6" s="31"/>
      <c r="C6" s="953">
        <f>FST!E6</f>
        <v>0</v>
      </c>
      <c r="D6" s="31"/>
      <c r="E6" s="31"/>
      <c r="F6" s="31"/>
      <c r="G6" s="10" t="s">
        <v>70</v>
      </c>
      <c r="H6" s="10" t="s">
        <v>71</v>
      </c>
      <c r="K6" s="33" t="s">
        <v>627</v>
      </c>
      <c r="M6" s="33" t="s">
        <v>380</v>
      </c>
    </row>
    <row r="7" spans="1:14" s="33" customFormat="1" ht="12.6" customHeight="1" x14ac:dyDescent="0.2">
      <c r="A7" s="67" t="s">
        <v>6</v>
      </c>
      <c r="B7" s="34"/>
      <c r="G7" s="10" t="s">
        <v>72</v>
      </c>
      <c r="H7" s="10" t="s">
        <v>73</v>
      </c>
      <c r="K7" s="33" t="s">
        <v>376</v>
      </c>
    </row>
    <row r="8" spans="1:14" s="33" customFormat="1" ht="12.6" customHeight="1" x14ac:dyDescent="0.2">
      <c r="A8" s="67"/>
      <c r="B8" s="34"/>
      <c r="K8" s="33" t="s">
        <v>626</v>
      </c>
    </row>
    <row r="9" spans="1:14" s="33" customFormat="1" ht="26.25" customHeight="1" x14ac:dyDescent="0.2">
      <c r="A9" s="1263" t="s">
        <v>449</v>
      </c>
      <c r="B9" s="1263"/>
      <c r="C9" s="1263"/>
      <c r="D9" s="69"/>
      <c r="E9" s="69"/>
      <c r="F9" s="69"/>
      <c r="K9" s="656" t="s">
        <v>1330</v>
      </c>
    </row>
    <row r="10" spans="1:14" s="33" customFormat="1" ht="12.6" customHeight="1" x14ac:dyDescent="0.2">
      <c r="A10" s="249"/>
      <c r="B10" s="35"/>
      <c r="C10" s="36"/>
      <c r="N10" s="33" t="s">
        <v>566</v>
      </c>
    </row>
    <row r="11" spans="1:14" x14ac:dyDescent="0.2">
      <c r="N11" s="167" t="s">
        <v>567</v>
      </c>
    </row>
    <row r="12" spans="1:14" x14ac:dyDescent="0.2">
      <c r="A12" s="170" t="s">
        <v>89</v>
      </c>
      <c r="N12" s="441">
        <f>FST!G62</f>
        <v>0</v>
      </c>
    </row>
    <row r="13" spans="1:14" ht="74.25" customHeight="1" x14ac:dyDescent="0.2">
      <c r="A13" s="1390" t="s">
        <v>1534</v>
      </c>
      <c r="B13" s="1460"/>
      <c r="C13" s="1461"/>
    </row>
    <row r="14" spans="1:14" ht="40.5" customHeight="1" x14ac:dyDescent="0.2">
      <c r="A14" s="650" t="s">
        <v>982</v>
      </c>
      <c r="B14" s="1462" t="str">
        <f>IF(N12=0,"N/A","Answer Required")</f>
        <v>N/A</v>
      </c>
      <c r="C14" s="1463"/>
    </row>
    <row r="15" spans="1:14" ht="42.75" customHeight="1" x14ac:dyDescent="0.2">
      <c r="A15" s="650" t="s">
        <v>836</v>
      </c>
      <c r="B15" s="1466" t="str">
        <f>IF(N12=0,"N/A","Answer Required")</f>
        <v>N/A</v>
      </c>
      <c r="C15" s="1467"/>
    </row>
    <row r="16" spans="1:14" ht="39" customHeight="1" x14ac:dyDescent="0.2">
      <c r="A16" s="650" t="s">
        <v>837</v>
      </c>
      <c r="B16" s="1464" t="str">
        <f>IF(N12=0,"N/A","Answer Required")</f>
        <v>N/A</v>
      </c>
      <c r="C16" s="1465"/>
    </row>
    <row r="17" spans="1:14" ht="59.25" customHeight="1" x14ac:dyDescent="0.2">
      <c r="A17" s="650" t="s">
        <v>838</v>
      </c>
      <c r="B17" s="961" t="str">
        <f>IF(N12=0,"N/A","Answer Required")</f>
        <v>N/A</v>
      </c>
      <c r="C17" s="172"/>
    </row>
    <row r="18" spans="1:14" ht="62.25" customHeight="1" x14ac:dyDescent="0.2">
      <c r="A18" s="171" t="s">
        <v>90</v>
      </c>
      <c r="B18" s="1464" t="str">
        <f>IF(B17="yes","Answer Required","N/A")</f>
        <v>N/A</v>
      </c>
      <c r="C18" s="1465"/>
    </row>
    <row r="19" spans="1:14" ht="149.25" customHeight="1" x14ac:dyDescent="0.2">
      <c r="A19" s="650" t="s">
        <v>983</v>
      </c>
      <c r="B19" s="960" t="s">
        <v>1038</v>
      </c>
      <c r="C19" s="172"/>
    </row>
    <row r="20" spans="1:14" ht="62.25" customHeight="1" x14ac:dyDescent="0.2">
      <c r="A20" s="171" t="s">
        <v>403</v>
      </c>
      <c r="B20" s="1464" t="str">
        <f>IF(B19="yes","Answer Required","N/A")</f>
        <v>N/A</v>
      </c>
      <c r="C20" s="1465"/>
    </row>
    <row r="21" spans="1:14" ht="62.25" customHeight="1" x14ac:dyDescent="0.2">
      <c r="A21" s="650" t="s">
        <v>839</v>
      </c>
      <c r="B21" s="960" t="str">
        <f>IF(N12=0,"N/A","Answer Required")</f>
        <v>N/A</v>
      </c>
      <c r="C21" s="172"/>
    </row>
    <row r="22" spans="1:14" ht="75.75" customHeight="1" x14ac:dyDescent="0.2">
      <c r="A22" s="171" t="s">
        <v>404</v>
      </c>
      <c r="B22" s="1468" t="str">
        <f>IF(B21="yes","Answer Required","N/A")</f>
        <v>N/A</v>
      </c>
      <c r="C22" s="1465"/>
    </row>
    <row r="23" spans="1:14" x14ac:dyDescent="0.2">
      <c r="A23" s="172"/>
      <c r="B23" s="172"/>
      <c r="C23" s="172"/>
    </row>
    <row r="24" spans="1:14" ht="20.25" customHeight="1" x14ac:dyDescent="0.2">
      <c r="A24" s="1447" t="s">
        <v>160</v>
      </c>
      <c r="B24" s="1164"/>
      <c r="C24" s="1164"/>
    </row>
    <row r="25" spans="1:14" ht="87.75" customHeight="1" x14ac:dyDescent="0.2">
      <c r="A25" s="1390" t="s">
        <v>1329</v>
      </c>
      <c r="B25" s="1460"/>
      <c r="C25" s="1461"/>
      <c r="N25" s="167" t="s">
        <v>566</v>
      </c>
    </row>
    <row r="26" spans="1:14" ht="22.5" customHeight="1" x14ac:dyDescent="0.2">
      <c r="A26" s="958" t="s">
        <v>930</v>
      </c>
      <c r="B26" s="1450" t="s">
        <v>221</v>
      </c>
      <c r="C26" s="1434"/>
      <c r="N26" s="167" t="s">
        <v>567</v>
      </c>
    </row>
    <row r="27" spans="1:14" ht="24" x14ac:dyDescent="0.2">
      <c r="A27" s="173" t="s">
        <v>629</v>
      </c>
      <c r="B27" s="1458" t="str">
        <f>IF(N27=0,"N/A","Answer Required")</f>
        <v>N/A</v>
      </c>
      <c r="C27" s="1459"/>
      <c r="N27" s="441">
        <f>FST!G83</f>
        <v>0</v>
      </c>
    </row>
    <row r="28" spans="1:14" x14ac:dyDescent="0.2">
      <c r="A28" s="173" t="s">
        <v>628</v>
      </c>
      <c r="B28" s="1458" t="str">
        <f>IF(N28=0,"N/A","Answer Required")</f>
        <v>N/A</v>
      </c>
      <c r="C28" s="1459"/>
      <c r="N28" s="441">
        <f>FST!G90</f>
        <v>0</v>
      </c>
    </row>
    <row r="29" spans="1:14" ht="24" x14ac:dyDescent="0.2">
      <c r="A29" s="173" t="s">
        <v>190</v>
      </c>
      <c r="B29" s="1458" t="str">
        <f>IF(N29=0,"N/A","Answer Required")</f>
        <v>N/A</v>
      </c>
      <c r="C29" s="1459"/>
      <c r="N29" s="441">
        <f>FST!G92</f>
        <v>0</v>
      </c>
    </row>
    <row r="30" spans="1:14" x14ac:dyDescent="0.2">
      <c r="A30" s="174"/>
      <c r="B30" s="175"/>
      <c r="C30" s="176"/>
    </row>
    <row r="31" spans="1:14" x14ac:dyDescent="0.2">
      <c r="A31" s="177" t="s">
        <v>92</v>
      </c>
      <c r="B31" s="178"/>
      <c r="C31" s="179"/>
    </row>
    <row r="32" spans="1:14" ht="57.75" customHeight="1" x14ac:dyDescent="0.2">
      <c r="A32" s="1399"/>
      <c r="B32" s="1407"/>
      <c r="C32" s="1408"/>
    </row>
    <row r="33" spans="1:14" ht="10.5" customHeight="1" x14ac:dyDescent="0.2">
      <c r="A33" s="170"/>
      <c r="B33" s="180"/>
      <c r="C33" s="180"/>
    </row>
    <row r="34" spans="1:14" ht="20.25" customHeight="1" x14ac:dyDescent="0.2">
      <c r="A34" s="1447" t="s">
        <v>447</v>
      </c>
      <c r="B34" s="1164"/>
      <c r="C34" s="1164"/>
      <c r="N34" s="441"/>
    </row>
    <row r="35" spans="1:14" ht="54.75" customHeight="1" x14ac:dyDescent="0.2">
      <c r="A35" s="1390" t="s">
        <v>1332</v>
      </c>
      <c r="B35" s="1448"/>
      <c r="C35" s="1449"/>
    </row>
    <row r="36" spans="1:14" ht="17.25" customHeight="1" x14ac:dyDescent="0.2">
      <c r="A36" s="181" t="s">
        <v>366</v>
      </c>
      <c r="B36" s="311" t="str">
        <f>IF(N38=0,"N/A","Answer Required")</f>
        <v>N/A</v>
      </c>
      <c r="C36" s="182"/>
      <c r="N36" s="167" t="s">
        <v>566</v>
      </c>
    </row>
    <row r="37" spans="1:14" ht="17.25" customHeight="1" x14ac:dyDescent="0.2">
      <c r="A37" s="181" t="s">
        <v>257</v>
      </c>
      <c r="B37" s="180"/>
      <c r="C37" s="182"/>
      <c r="N37" s="167" t="s">
        <v>567</v>
      </c>
    </row>
    <row r="38" spans="1:14" ht="63.75" customHeight="1" x14ac:dyDescent="0.2">
      <c r="A38" s="1399" t="str">
        <f>IF(B36="No","Answer Required","N/A")</f>
        <v>N/A</v>
      </c>
      <c r="B38" s="1407"/>
      <c r="C38" s="1408"/>
      <c r="N38" s="441">
        <f>FST!G140</f>
        <v>0</v>
      </c>
    </row>
    <row r="39" spans="1:14" ht="19.5" customHeight="1" x14ac:dyDescent="0.2">
      <c r="A39" s="183"/>
      <c r="B39" s="184"/>
      <c r="C39" s="184"/>
    </row>
    <row r="40" spans="1:14" x14ac:dyDescent="0.2">
      <c r="A40" s="170" t="s">
        <v>1067</v>
      </c>
    </row>
    <row r="41" spans="1:14" ht="27.75" customHeight="1" x14ac:dyDescent="0.2">
      <c r="A41" s="1450" t="s">
        <v>118</v>
      </c>
      <c r="B41" s="1411"/>
      <c r="C41" s="1412"/>
    </row>
    <row r="42" spans="1:14" ht="15" customHeight="1" x14ac:dyDescent="0.2">
      <c r="A42" s="743" t="s">
        <v>143</v>
      </c>
      <c r="B42" s="597" t="s">
        <v>1038</v>
      </c>
      <c r="C42" s="185"/>
    </row>
    <row r="43" spans="1:14" ht="22.5" customHeight="1" x14ac:dyDescent="0.2">
      <c r="A43" s="1390" t="s">
        <v>1331</v>
      </c>
      <c r="B43" s="1411"/>
      <c r="C43" s="1412"/>
    </row>
    <row r="44" spans="1:14" ht="96" customHeight="1" x14ac:dyDescent="0.2">
      <c r="A44" s="1399" t="str">
        <f>IF(B42="Yes","Answer Required","N/A")</f>
        <v>N/A</v>
      </c>
      <c r="B44" s="1407"/>
      <c r="C44" s="1408"/>
    </row>
    <row r="46" spans="1:14" x14ac:dyDescent="0.2">
      <c r="A46" s="170" t="s">
        <v>1068</v>
      </c>
    </row>
    <row r="47" spans="1:14" ht="47.25" customHeight="1" x14ac:dyDescent="0.2">
      <c r="A47" s="1430" t="s">
        <v>1333</v>
      </c>
      <c r="B47" s="1411"/>
      <c r="C47" s="1412"/>
    </row>
    <row r="48" spans="1:14" ht="15" customHeight="1" x14ac:dyDescent="0.2">
      <c r="A48" s="743" t="s">
        <v>143</v>
      </c>
      <c r="B48" s="597" t="s">
        <v>1038</v>
      </c>
      <c r="C48" s="185"/>
    </row>
    <row r="49" spans="1:3" ht="22.5" customHeight="1" x14ac:dyDescent="0.2">
      <c r="A49" s="1450" t="s">
        <v>811</v>
      </c>
      <c r="B49" s="1411"/>
      <c r="C49" s="1412"/>
    </row>
    <row r="50" spans="1:3" ht="96" customHeight="1" x14ac:dyDescent="0.2">
      <c r="A50" s="1399" t="str">
        <f>IF(B48="Yes","Answer Required","N/A")</f>
        <v>N/A</v>
      </c>
      <c r="B50" s="1407"/>
      <c r="C50" s="1408"/>
    </row>
    <row r="51" spans="1:3" ht="19.5" customHeight="1" x14ac:dyDescent="0.2"/>
    <row r="52" spans="1:3" x14ac:dyDescent="0.2">
      <c r="A52" s="170" t="s">
        <v>1069</v>
      </c>
    </row>
    <row r="53" spans="1:3" x14ac:dyDescent="0.2">
      <c r="A53" s="1450" t="s">
        <v>74</v>
      </c>
      <c r="B53" s="1411"/>
      <c r="C53" s="1412"/>
    </row>
    <row r="54" spans="1:3" ht="15" customHeight="1" x14ac:dyDescent="0.2">
      <c r="A54" s="743" t="s">
        <v>143</v>
      </c>
      <c r="B54" s="597" t="s">
        <v>1038</v>
      </c>
      <c r="C54" s="185"/>
    </row>
    <row r="55" spans="1:3" ht="22.5" customHeight="1" x14ac:dyDescent="0.2">
      <c r="A55" s="1450" t="s">
        <v>811</v>
      </c>
      <c r="B55" s="1411"/>
      <c r="C55" s="1412"/>
    </row>
    <row r="56" spans="1:3" ht="96" customHeight="1" x14ac:dyDescent="0.2">
      <c r="A56" s="1399" t="str">
        <f>IF(B54="Yes","Answer Required","N/A")</f>
        <v>N/A</v>
      </c>
      <c r="B56" s="1407"/>
      <c r="C56" s="1408"/>
    </row>
    <row r="57" spans="1:3" ht="16.5" customHeight="1" x14ac:dyDescent="0.2"/>
    <row r="58" spans="1:3" x14ac:dyDescent="0.2">
      <c r="A58" s="170" t="s">
        <v>1070</v>
      </c>
    </row>
    <row r="59" spans="1:3" ht="135" customHeight="1" x14ac:dyDescent="0.2">
      <c r="A59" s="1390" t="s">
        <v>1763</v>
      </c>
      <c r="B59" s="1456"/>
      <c r="C59" s="1457"/>
    </row>
    <row r="60" spans="1:3" ht="17.25" customHeight="1" x14ac:dyDescent="0.2">
      <c r="A60" s="1390" t="s">
        <v>918</v>
      </c>
      <c r="B60" s="1411"/>
      <c r="C60" s="1412"/>
    </row>
    <row r="61" spans="1:3" ht="15" customHeight="1" x14ac:dyDescent="0.2">
      <c r="A61" s="743" t="s">
        <v>143</v>
      </c>
      <c r="B61" s="597" t="s">
        <v>1038</v>
      </c>
      <c r="C61" s="185"/>
    </row>
    <row r="62" spans="1:3" ht="22.5" customHeight="1" x14ac:dyDescent="0.2">
      <c r="A62" s="1450" t="s">
        <v>811</v>
      </c>
      <c r="B62" s="1411"/>
      <c r="C62" s="1412"/>
    </row>
    <row r="63" spans="1:3" ht="96" customHeight="1" x14ac:dyDescent="0.2">
      <c r="A63" s="1399" t="str">
        <f>IF(B61="Yes","Answer Required","N/A")</f>
        <v>N/A</v>
      </c>
      <c r="B63" s="1407"/>
      <c r="C63" s="1408"/>
    </row>
    <row r="65" spans="1:3" x14ac:dyDescent="0.2">
      <c r="A65" s="170" t="s">
        <v>1071</v>
      </c>
    </row>
    <row r="66" spans="1:3" ht="26.25" customHeight="1" x14ac:dyDescent="0.2">
      <c r="A66" s="1450" t="s">
        <v>440</v>
      </c>
      <c r="B66" s="1411"/>
      <c r="C66" s="1412"/>
    </row>
    <row r="67" spans="1:3" ht="15" customHeight="1" x14ac:dyDescent="0.2">
      <c r="A67" s="173" t="s">
        <v>143</v>
      </c>
      <c r="B67" s="597" t="s">
        <v>1038</v>
      </c>
      <c r="C67" s="184"/>
    </row>
    <row r="68" spans="1:3" ht="66" customHeight="1" x14ac:dyDescent="0.2">
      <c r="A68" s="1388" t="s">
        <v>1764</v>
      </c>
      <c r="B68" s="1435"/>
      <c r="C68" s="1435"/>
    </row>
    <row r="69" spans="1:3" x14ac:dyDescent="0.2">
      <c r="A69" s="845"/>
      <c r="B69" s="65" t="s">
        <v>586</v>
      </c>
      <c r="C69" s="1115" t="s">
        <v>1822</v>
      </c>
    </row>
    <row r="70" spans="1:3" x14ac:dyDescent="0.2">
      <c r="A70" s="169"/>
      <c r="B70" s="320"/>
      <c r="C70" s="679" t="s">
        <v>1707</v>
      </c>
    </row>
    <row r="71" spans="1:3" x14ac:dyDescent="0.2">
      <c r="A71" s="845"/>
      <c r="B71" s="320"/>
      <c r="C71" s="678" t="s">
        <v>874</v>
      </c>
    </row>
    <row r="72" spans="1:3" ht="12.75" thickBot="1" x14ac:dyDescent="0.25">
      <c r="A72" s="1112" t="s">
        <v>373</v>
      </c>
      <c r="B72" s="321">
        <f>SUM(B70:B71)</f>
        <v>0</v>
      </c>
      <c r="C72" s="184"/>
    </row>
    <row r="73" spans="1:3" ht="5.25" customHeight="1" thickTop="1" x14ac:dyDescent="0.2">
      <c r="A73" s="845"/>
      <c r="B73" s="184"/>
      <c r="C73" s="184"/>
    </row>
    <row r="75" spans="1:3" x14ac:dyDescent="0.2">
      <c r="A75" s="170" t="s">
        <v>1072</v>
      </c>
    </row>
    <row r="76" spans="1:3" x14ac:dyDescent="0.2">
      <c r="A76" s="1450" t="s">
        <v>714</v>
      </c>
      <c r="B76" s="1411"/>
      <c r="C76" s="1412"/>
    </row>
    <row r="77" spans="1:3" x14ac:dyDescent="0.2">
      <c r="B77" s="168" t="s">
        <v>586</v>
      </c>
      <c r="C77" s="169" t="s">
        <v>681</v>
      </c>
    </row>
    <row r="78" spans="1:3" ht="30.75" customHeight="1" x14ac:dyDescent="0.2">
      <c r="B78" s="320"/>
      <c r="C78" s="886" t="s">
        <v>1406</v>
      </c>
    </row>
    <row r="79" spans="1:3" ht="30.75" customHeight="1" x14ac:dyDescent="0.2">
      <c r="B79" s="320"/>
      <c r="C79" s="736"/>
    </row>
    <row r="80" spans="1:3" ht="30.75" customHeight="1" x14ac:dyDescent="0.2">
      <c r="B80" s="320"/>
      <c r="C80" s="736"/>
    </row>
    <row r="81" spans="1:3" ht="30.75" customHeight="1" x14ac:dyDescent="0.2">
      <c r="B81" s="320"/>
      <c r="C81" s="736"/>
    </row>
    <row r="82" spans="1:3" ht="30.75" customHeight="1" x14ac:dyDescent="0.2">
      <c r="B82" s="320"/>
      <c r="C82" s="736"/>
    </row>
    <row r="83" spans="1:3" ht="30.75" customHeight="1" x14ac:dyDescent="0.2">
      <c r="B83" s="320"/>
      <c r="C83" s="736"/>
    </row>
    <row r="84" spans="1:3" ht="30.75" customHeight="1" x14ac:dyDescent="0.2">
      <c r="B84" s="320"/>
      <c r="C84" s="960"/>
    </row>
    <row r="85" spans="1:3" ht="30.75" customHeight="1" x14ac:dyDescent="0.2">
      <c r="B85" s="320"/>
      <c r="C85" s="960"/>
    </row>
    <row r="86" spans="1:3" ht="30.75" customHeight="1" x14ac:dyDescent="0.2">
      <c r="B86" s="320"/>
      <c r="C86" s="960"/>
    </row>
    <row r="87" spans="1:3" ht="30.75" customHeight="1" x14ac:dyDescent="0.2">
      <c r="B87" s="320"/>
      <c r="C87" s="960"/>
    </row>
    <row r="88" spans="1:3" ht="30.75" customHeight="1" x14ac:dyDescent="0.2">
      <c r="B88" s="320"/>
      <c r="C88" s="960"/>
    </row>
    <row r="89" spans="1:3" ht="30.75" customHeight="1" x14ac:dyDescent="0.2">
      <c r="B89" s="320"/>
      <c r="C89" s="960"/>
    </row>
    <row r="90" spans="1:3" ht="30.75" customHeight="1" x14ac:dyDescent="0.2">
      <c r="B90" s="320"/>
      <c r="C90" s="960"/>
    </row>
    <row r="91" spans="1:3" ht="30.75" customHeight="1" x14ac:dyDescent="0.2">
      <c r="B91" s="320"/>
      <c r="C91" s="960"/>
    </row>
    <row r="92" spans="1:3" ht="12.75" thickBot="1" x14ac:dyDescent="0.25">
      <c r="A92" s="167" t="s">
        <v>373</v>
      </c>
      <c r="B92" s="321">
        <f>IF(SUM(B78:B91)=FST!G144,SUM(B78:B91),"Error")</f>
        <v>0</v>
      </c>
    </row>
    <row r="93" spans="1:3" ht="12.75" thickTop="1" x14ac:dyDescent="0.2">
      <c r="A93" s="531" t="s">
        <v>818</v>
      </c>
      <c r="B93" s="440">
        <f>SUM(B78:B91)</f>
        <v>0</v>
      </c>
    </row>
    <row r="94" spans="1:3" x14ac:dyDescent="0.2">
      <c r="A94" s="531" t="s">
        <v>690</v>
      </c>
      <c r="B94" s="440">
        <f>FST!G144-'TAB 7, Miscellaneous'!B93</f>
        <v>0</v>
      </c>
    </row>
    <row r="99" spans="1:3" x14ac:dyDescent="0.2">
      <c r="A99" s="1450" t="s">
        <v>713</v>
      </c>
      <c r="B99" s="1411"/>
      <c r="C99" s="1412"/>
    </row>
    <row r="100" spans="1:3" x14ac:dyDescent="0.2">
      <c r="B100" s="168" t="s">
        <v>586</v>
      </c>
      <c r="C100" s="169" t="s">
        <v>681</v>
      </c>
    </row>
    <row r="101" spans="1:3" ht="30.75" customHeight="1" x14ac:dyDescent="0.2">
      <c r="B101" s="320"/>
      <c r="C101" s="736"/>
    </row>
    <row r="102" spans="1:3" ht="30.75" customHeight="1" x14ac:dyDescent="0.2">
      <c r="B102" s="320"/>
      <c r="C102" s="736"/>
    </row>
    <row r="103" spans="1:3" ht="30.75" customHeight="1" x14ac:dyDescent="0.2">
      <c r="B103" s="320"/>
      <c r="C103" s="736"/>
    </row>
    <row r="104" spans="1:3" ht="30.75" customHeight="1" x14ac:dyDescent="0.2">
      <c r="B104" s="320"/>
      <c r="C104" s="736"/>
    </row>
    <row r="105" spans="1:3" ht="30.75" customHeight="1" x14ac:dyDescent="0.2">
      <c r="B105" s="320"/>
      <c r="C105" s="736"/>
    </row>
    <row r="106" spans="1:3" ht="30.75" customHeight="1" x14ac:dyDescent="0.2">
      <c r="B106" s="320"/>
      <c r="C106" s="736"/>
    </row>
    <row r="107" spans="1:3" ht="30.75" customHeight="1" x14ac:dyDescent="0.2">
      <c r="B107" s="320"/>
      <c r="C107" s="960"/>
    </row>
    <row r="108" spans="1:3" ht="30.75" customHeight="1" x14ac:dyDescent="0.2">
      <c r="B108" s="320"/>
      <c r="C108" s="960"/>
    </row>
    <row r="109" spans="1:3" ht="30.75" customHeight="1" x14ac:dyDescent="0.2">
      <c r="B109" s="320"/>
      <c r="C109" s="960"/>
    </row>
    <row r="110" spans="1:3" ht="30.75" customHeight="1" x14ac:dyDescent="0.2">
      <c r="B110" s="320"/>
      <c r="C110" s="960"/>
    </row>
    <row r="111" spans="1:3" ht="30.75" customHeight="1" x14ac:dyDescent="0.2">
      <c r="B111" s="320"/>
      <c r="C111" s="960"/>
    </row>
    <row r="112" spans="1:3" ht="30.75" customHeight="1" x14ac:dyDescent="0.2">
      <c r="B112" s="320"/>
      <c r="C112" s="960"/>
    </row>
    <row r="113" spans="1:3" ht="30.75" customHeight="1" x14ac:dyDescent="0.2">
      <c r="B113" s="320"/>
      <c r="C113" s="960"/>
    </row>
    <row r="114" spans="1:3" ht="30.75" customHeight="1" x14ac:dyDescent="0.2">
      <c r="B114" s="320"/>
      <c r="C114" s="960"/>
    </row>
    <row r="115" spans="1:3" ht="12.75" thickBot="1" x14ac:dyDescent="0.25">
      <c r="A115" s="167" t="s">
        <v>373</v>
      </c>
      <c r="B115" s="321">
        <f>IF(SUM(B101:B114)=FST!G128,SUM(B101:B114),"Error")</f>
        <v>0</v>
      </c>
    </row>
    <row r="116" spans="1:3" ht="12.75" thickTop="1" x14ac:dyDescent="0.2">
      <c r="A116" s="531" t="s">
        <v>818</v>
      </c>
      <c r="B116" s="440">
        <f>SUM(B101:B114)</f>
        <v>0</v>
      </c>
    </row>
    <row r="117" spans="1:3" x14ac:dyDescent="0.2">
      <c r="A117" s="531" t="s">
        <v>690</v>
      </c>
      <c r="B117" s="440">
        <f>FST!G128-'TAB 7, Miscellaneous'!B116</f>
        <v>0</v>
      </c>
    </row>
    <row r="118" spans="1:3" ht="32.25" customHeight="1" x14ac:dyDescent="0.2"/>
    <row r="120" spans="1:3" x14ac:dyDescent="0.2">
      <c r="A120" s="170" t="s">
        <v>1073</v>
      </c>
    </row>
    <row r="121" spans="1:3" x14ac:dyDescent="0.2">
      <c r="A121" s="1450" t="s">
        <v>658</v>
      </c>
      <c r="B121" s="1411"/>
      <c r="C121" s="1412"/>
    </row>
    <row r="122" spans="1:3" x14ac:dyDescent="0.2">
      <c r="B122" s="168" t="s">
        <v>586</v>
      </c>
      <c r="C122" s="169" t="s">
        <v>681</v>
      </c>
    </row>
    <row r="123" spans="1:3" ht="30.75" customHeight="1" x14ac:dyDescent="0.2">
      <c r="B123" s="320"/>
      <c r="C123" s="736"/>
    </row>
    <row r="124" spans="1:3" ht="30.75" customHeight="1" x14ac:dyDescent="0.2">
      <c r="B124" s="320"/>
      <c r="C124" s="736"/>
    </row>
    <row r="125" spans="1:3" ht="30.75" customHeight="1" x14ac:dyDescent="0.2">
      <c r="B125" s="320"/>
      <c r="C125" s="736"/>
    </row>
    <row r="126" spans="1:3" ht="30.75" customHeight="1" x14ac:dyDescent="0.2">
      <c r="B126" s="320"/>
      <c r="C126" s="736"/>
    </row>
    <row r="127" spans="1:3" ht="30.75" customHeight="1" x14ac:dyDescent="0.2">
      <c r="B127" s="320"/>
      <c r="C127" s="736"/>
    </row>
    <row r="128" spans="1:3" ht="30.75" customHeight="1" x14ac:dyDescent="0.2">
      <c r="B128" s="320"/>
      <c r="C128" s="736"/>
    </row>
    <row r="129" spans="1:3" ht="30.75" customHeight="1" x14ac:dyDescent="0.2">
      <c r="B129" s="320"/>
      <c r="C129" s="960"/>
    </row>
    <row r="130" spans="1:3" ht="30.75" customHeight="1" x14ac:dyDescent="0.2">
      <c r="B130" s="320"/>
      <c r="C130" s="960"/>
    </row>
    <row r="131" spans="1:3" ht="30.75" customHeight="1" x14ac:dyDescent="0.2">
      <c r="B131" s="320"/>
      <c r="C131" s="960"/>
    </row>
    <row r="132" spans="1:3" ht="30.75" customHeight="1" x14ac:dyDescent="0.2">
      <c r="B132" s="320"/>
      <c r="C132" s="960"/>
    </row>
    <row r="133" spans="1:3" ht="30.75" customHeight="1" x14ac:dyDescent="0.2">
      <c r="B133" s="320"/>
      <c r="C133" s="960"/>
    </row>
    <row r="134" spans="1:3" ht="30.75" customHeight="1" x14ac:dyDescent="0.2">
      <c r="B134" s="320"/>
      <c r="C134" s="960"/>
    </row>
    <row r="135" spans="1:3" ht="30.75" customHeight="1" x14ac:dyDescent="0.2">
      <c r="B135" s="320"/>
      <c r="C135" s="960"/>
    </row>
    <row r="136" spans="1:3" ht="30.75" customHeight="1" x14ac:dyDescent="0.2">
      <c r="B136" s="320"/>
      <c r="C136" s="960"/>
    </row>
    <row r="137" spans="1:3" ht="12.75" thickBot="1" x14ac:dyDescent="0.25">
      <c r="A137" s="167" t="s">
        <v>373</v>
      </c>
      <c r="B137" s="321">
        <f>IF(SUM(B123:B136)=FST!G68,SUM(B123:B136),"Error")</f>
        <v>0</v>
      </c>
    </row>
    <row r="138" spans="1:3" ht="12.75" thickTop="1" x14ac:dyDescent="0.2">
      <c r="A138" s="531" t="s">
        <v>818</v>
      </c>
      <c r="B138" s="440">
        <f>SUM(B123:B136)</f>
        <v>0</v>
      </c>
    </row>
    <row r="139" spans="1:3" x14ac:dyDescent="0.2">
      <c r="A139" s="531" t="s">
        <v>690</v>
      </c>
      <c r="B139" s="440">
        <f>FST!G68-'TAB 7, Miscellaneous'!B138</f>
        <v>0</v>
      </c>
    </row>
    <row r="144" spans="1:3" x14ac:dyDescent="0.2">
      <c r="A144" s="1450" t="s">
        <v>659</v>
      </c>
      <c r="B144" s="1411"/>
      <c r="C144" s="1412"/>
    </row>
    <row r="145" spans="1:3" x14ac:dyDescent="0.2">
      <c r="B145" s="168" t="s">
        <v>586</v>
      </c>
      <c r="C145" s="169" t="s">
        <v>681</v>
      </c>
    </row>
    <row r="146" spans="1:3" x14ac:dyDescent="0.2">
      <c r="B146" s="320"/>
      <c r="C146" s="886" t="s">
        <v>1334</v>
      </c>
    </row>
    <row r="147" spans="1:3" ht="30.75" customHeight="1" x14ac:dyDescent="0.2">
      <c r="B147" s="320"/>
      <c r="C147" s="736"/>
    </row>
    <row r="148" spans="1:3" ht="30.75" customHeight="1" x14ac:dyDescent="0.2">
      <c r="B148" s="320"/>
      <c r="C148" s="736"/>
    </row>
    <row r="149" spans="1:3" ht="30.75" customHeight="1" x14ac:dyDescent="0.2">
      <c r="B149" s="320"/>
      <c r="C149" s="736"/>
    </row>
    <row r="150" spans="1:3" ht="30.75" customHeight="1" x14ac:dyDescent="0.2">
      <c r="B150" s="320"/>
      <c r="C150" s="736"/>
    </row>
    <row r="151" spans="1:3" ht="30.75" customHeight="1" x14ac:dyDescent="0.2">
      <c r="B151" s="320"/>
      <c r="C151" s="736"/>
    </row>
    <row r="152" spans="1:3" ht="30.75" customHeight="1" x14ac:dyDescent="0.2">
      <c r="B152" s="320"/>
      <c r="C152" s="960"/>
    </row>
    <row r="153" spans="1:3" ht="30.75" customHeight="1" x14ac:dyDescent="0.2">
      <c r="B153" s="320"/>
      <c r="C153" s="960"/>
    </row>
    <row r="154" spans="1:3" ht="30.75" customHeight="1" x14ac:dyDescent="0.2">
      <c r="B154" s="320"/>
      <c r="C154" s="960"/>
    </row>
    <row r="155" spans="1:3" ht="30.75" customHeight="1" x14ac:dyDescent="0.2">
      <c r="B155" s="320"/>
      <c r="C155" s="960"/>
    </row>
    <row r="156" spans="1:3" ht="30.75" customHeight="1" x14ac:dyDescent="0.2">
      <c r="B156" s="320"/>
      <c r="C156" s="960"/>
    </row>
    <row r="157" spans="1:3" ht="30.75" customHeight="1" x14ac:dyDescent="0.2">
      <c r="B157" s="320"/>
      <c r="C157" s="960"/>
    </row>
    <row r="158" spans="1:3" ht="30.75" customHeight="1" x14ac:dyDescent="0.2">
      <c r="B158" s="320"/>
      <c r="C158" s="960"/>
    </row>
    <row r="159" spans="1:3" ht="30.75" customHeight="1" x14ac:dyDescent="0.2">
      <c r="B159" s="320"/>
      <c r="C159" s="960"/>
    </row>
    <row r="160" spans="1:3" ht="12.75" thickBot="1" x14ac:dyDescent="0.25">
      <c r="A160" s="167" t="s">
        <v>373</v>
      </c>
      <c r="B160" s="321">
        <f>IF(SUM(B146:B159)=FST!G92,SUM(B146:B159),"Error")</f>
        <v>0</v>
      </c>
    </row>
    <row r="161" spans="1:3" ht="12.75" thickTop="1" x14ac:dyDescent="0.2">
      <c r="A161" s="531" t="s">
        <v>818</v>
      </c>
      <c r="B161" s="440">
        <f>SUM(B146:B159)</f>
        <v>0</v>
      </c>
    </row>
    <row r="162" spans="1:3" x14ac:dyDescent="0.2">
      <c r="A162" s="531" t="s">
        <v>690</v>
      </c>
      <c r="B162" s="440">
        <f>FST!G92-'TAB 7, Miscellaneous'!B161</f>
        <v>0</v>
      </c>
    </row>
    <row r="164" spans="1:3" ht="42.75" customHeight="1" x14ac:dyDescent="0.2">
      <c r="A164" s="1451" t="s">
        <v>1286</v>
      </c>
      <c r="B164" s="1451"/>
      <c r="C164" s="1451"/>
    </row>
    <row r="165" spans="1:3" ht="19.5" customHeight="1" x14ac:dyDescent="0.2">
      <c r="A165" s="1452" t="s">
        <v>1270</v>
      </c>
      <c r="B165" s="1453"/>
      <c r="C165" s="1453"/>
    </row>
    <row r="166" spans="1:3" ht="5.25" customHeight="1" x14ac:dyDescent="0.2">
      <c r="A166" s="1415"/>
      <c r="B166" s="1416"/>
      <c r="C166" s="1417"/>
    </row>
    <row r="167" spans="1:3" ht="108.75" customHeight="1" x14ac:dyDescent="0.2">
      <c r="A167" s="1418" t="s">
        <v>1335</v>
      </c>
      <c r="B167" s="1454"/>
      <c r="C167" s="1455"/>
    </row>
    <row r="168" spans="1:3" ht="178.5" customHeight="1" x14ac:dyDescent="0.2">
      <c r="A168" s="1418" t="s">
        <v>1287</v>
      </c>
      <c r="B168" s="1419"/>
      <c r="C168" s="1420"/>
    </row>
    <row r="169" spans="1:3" ht="41.25" customHeight="1" x14ac:dyDescent="0.2">
      <c r="A169" s="1383" t="s">
        <v>1336</v>
      </c>
      <c r="B169" s="1410"/>
      <c r="C169" s="1384"/>
    </row>
    <row r="170" spans="1:3" x14ac:dyDescent="0.2">
      <c r="A170" s="743" t="s">
        <v>143</v>
      </c>
      <c r="B170" s="534" t="s">
        <v>1038</v>
      </c>
      <c r="C170" s="185"/>
    </row>
    <row r="171" spans="1:3" ht="41.25" customHeight="1" x14ac:dyDescent="0.2">
      <c r="A171" s="1383" t="s">
        <v>1337</v>
      </c>
      <c r="B171" s="1410"/>
      <c r="C171" s="1384"/>
    </row>
    <row r="172" spans="1:3" x14ac:dyDescent="0.2">
      <c r="A172" s="743" t="s">
        <v>143</v>
      </c>
      <c r="B172" s="534" t="s">
        <v>1038</v>
      </c>
      <c r="C172" s="185"/>
    </row>
    <row r="173" spans="1:3" ht="33" customHeight="1" x14ac:dyDescent="0.2">
      <c r="A173" s="1383" t="s">
        <v>1338</v>
      </c>
      <c r="B173" s="1410"/>
      <c r="C173" s="1384"/>
    </row>
    <row r="174" spans="1:3" x14ac:dyDescent="0.2">
      <c r="A174" s="958" t="s">
        <v>143</v>
      </c>
      <c r="B174" s="856" t="str">
        <f>IF(OR(B170="yes",B172="yes"),"Answer Required","N/A")</f>
        <v>N/A</v>
      </c>
      <c r="C174" s="185"/>
    </row>
    <row r="175" spans="1:3" ht="24" x14ac:dyDescent="0.2">
      <c r="A175" s="853" t="s">
        <v>503</v>
      </c>
      <c r="B175" s="320"/>
      <c r="C175" s="958" t="s">
        <v>1288</v>
      </c>
    </row>
    <row r="176" spans="1:3" ht="24" x14ac:dyDescent="0.2">
      <c r="A176" s="853" t="s">
        <v>503</v>
      </c>
      <c r="B176" s="320"/>
      <c r="C176" s="958" t="s">
        <v>1309</v>
      </c>
    </row>
    <row r="177" spans="1:3" ht="72.75" customHeight="1" x14ac:dyDescent="0.2">
      <c r="A177" s="1390" t="s">
        <v>1511</v>
      </c>
      <c r="B177" s="1391"/>
      <c r="C177" s="1392"/>
    </row>
    <row r="178" spans="1:3" ht="105.75" customHeight="1" x14ac:dyDescent="0.2">
      <c r="A178" s="1399" t="str">
        <f>IF(OR(B170="yes",B172="yes",B174="yes"),"Answer Required","N/A")</f>
        <v>N/A</v>
      </c>
      <c r="B178" s="1407"/>
      <c r="C178" s="1408"/>
    </row>
    <row r="181" spans="1:3" x14ac:dyDescent="0.2">
      <c r="A181" s="170" t="s">
        <v>1074</v>
      </c>
    </row>
    <row r="182" spans="1:3" ht="63.75" customHeight="1" x14ac:dyDescent="0.2">
      <c r="A182" s="1390" t="s">
        <v>1813</v>
      </c>
      <c r="B182" s="1411"/>
      <c r="C182" s="1412"/>
    </row>
    <row r="183" spans="1:3" x14ac:dyDescent="0.2">
      <c r="A183" s="743" t="s">
        <v>143</v>
      </c>
      <c r="B183" s="186" t="s">
        <v>1038</v>
      </c>
      <c r="C183" s="185"/>
    </row>
    <row r="184" spans="1:3" ht="49.5" customHeight="1" x14ac:dyDescent="0.2">
      <c r="A184" s="1450" t="s">
        <v>437</v>
      </c>
      <c r="B184" s="1411"/>
      <c r="C184" s="1412"/>
    </row>
    <row r="185" spans="1:3" ht="165.75" customHeight="1" x14ac:dyDescent="0.2">
      <c r="A185" s="1399" t="str">
        <f>IF(B183="Yes","Answer Required","N/A")</f>
        <v>N/A</v>
      </c>
      <c r="B185" s="1407"/>
      <c r="C185" s="1408"/>
    </row>
    <row r="186" spans="1:3" ht="137.25" customHeight="1" x14ac:dyDescent="0.2">
      <c r="A186" s="1390" t="s">
        <v>1289</v>
      </c>
      <c r="B186" s="1411"/>
      <c r="C186" s="1412"/>
    </row>
    <row r="187" spans="1:3" x14ac:dyDescent="0.2">
      <c r="A187" s="743" t="s">
        <v>143</v>
      </c>
      <c r="B187" s="186" t="s">
        <v>1038</v>
      </c>
      <c r="C187" s="185"/>
    </row>
    <row r="188" spans="1:3" ht="24.75" customHeight="1" x14ac:dyDescent="0.2">
      <c r="A188" s="1390" t="s">
        <v>1014</v>
      </c>
      <c r="B188" s="1411"/>
      <c r="C188" s="1412"/>
    </row>
    <row r="189" spans="1:3" ht="111" customHeight="1" x14ac:dyDescent="0.2">
      <c r="A189" s="1399" t="str">
        <f>IF(B187="Yes","Answer Required","N/A")</f>
        <v>N/A</v>
      </c>
      <c r="B189" s="1407"/>
      <c r="C189" s="1408"/>
    </row>
    <row r="191" spans="1:3" ht="33" customHeight="1" x14ac:dyDescent="0.2">
      <c r="A191" s="1429" t="s">
        <v>1075</v>
      </c>
      <c r="B191" s="1429"/>
      <c r="C191" s="1429"/>
    </row>
    <row r="192" spans="1:3" x14ac:dyDescent="0.2">
      <c r="A192" s="1445"/>
      <c r="B192" s="1416"/>
      <c r="C192" s="1412"/>
    </row>
    <row r="193" spans="1:3" s="168" customFormat="1" ht="160.5" customHeight="1" x14ac:dyDescent="0.2">
      <c r="A193" s="590" t="s">
        <v>143</v>
      </c>
      <c r="B193" s="685" t="s">
        <v>1038</v>
      </c>
      <c r="C193" s="651" t="s">
        <v>1339</v>
      </c>
    </row>
    <row r="194" spans="1:3" s="168" customFormat="1" ht="71.25" customHeight="1" x14ac:dyDescent="0.2">
      <c r="A194" s="532"/>
      <c r="B194" s="543"/>
      <c r="C194" s="671" t="str">
        <f>IF(B193="Yes","Answer Required","N/A")</f>
        <v>N/A</v>
      </c>
    </row>
    <row r="195" spans="1:3" s="168" customFormat="1" ht="97.5" hidden="1" customHeight="1" x14ac:dyDescent="0.2">
      <c r="A195" s="590" t="s">
        <v>143</v>
      </c>
      <c r="B195" s="875" t="s">
        <v>1038</v>
      </c>
      <c r="C195" s="651" t="s">
        <v>1076</v>
      </c>
    </row>
    <row r="196" spans="1:3" s="168" customFormat="1" ht="71.25" hidden="1" customHeight="1" x14ac:dyDescent="0.2">
      <c r="A196" s="743"/>
      <c r="B196" s="333"/>
      <c r="C196" s="876" t="str">
        <f>IF(B195="Yes","Answer Required","N/A")</f>
        <v>N/A</v>
      </c>
    </row>
    <row r="197" spans="1:3" s="168" customFormat="1" ht="87.75" hidden="1" customHeight="1" x14ac:dyDescent="0.2">
      <c r="A197" s="532"/>
      <c r="B197" s="535"/>
      <c r="C197" s="801" t="s">
        <v>1149</v>
      </c>
    </row>
    <row r="198" spans="1:3" s="168" customFormat="1" ht="74.25" hidden="1" customHeight="1" x14ac:dyDescent="0.2">
      <c r="A198" s="743" t="s">
        <v>143</v>
      </c>
      <c r="B198" s="877" t="s">
        <v>1038</v>
      </c>
      <c r="C198" s="652" t="s">
        <v>1077</v>
      </c>
    </row>
    <row r="199" spans="1:3" s="168" customFormat="1" ht="71.25" hidden="1" customHeight="1" x14ac:dyDescent="0.2">
      <c r="A199" s="532"/>
      <c r="B199" s="535"/>
      <c r="C199" s="876" t="str">
        <f>IF(B198="Yes","Answer Required","N/A")</f>
        <v>N/A</v>
      </c>
    </row>
    <row r="200" spans="1:3" s="168" customFormat="1" ht="75.75" hidden="1" customHeight="1" x14ac:dyDescent="0.2">
      <c r="A200" s="590" t="s">
        <v>143</v>
      </c>
      <c r="B200" s="875" t="s">
        <v>1038</v>
      </c>
      <c r="C200" s="651" t="s">
        <v>1078</v>
      </c>
    </row>
    <row r="201" spans="1:3" s="168" customFormat="1" ht="71.25" hidden="1" customHeight="1" x14ac:dyDescent="0.2">
      <c r="A201" s="532"/>
      <c r="B201" s="535"/>
      <c r="C201" s="876" t="str">
        <f>IF(B200="Yes","Answer Required","N/A")</f>
        <v>N/A</v>
      </c>
    </row>
    <row r="202" spans="1:3" s="168" customFormat="1" ht="9" hidden="1" customHeight="1" x14ac:dyDescent="0.2">
      <c r="A202" s="169"/>
      <c r="B202" s="333"/>
      <c r="C202" s="609"/>
    </row>
    <row r="203" spans="1:3" s="168" customFormat="1" ht="11.25" hidden="1" customHeight="1" x14ac:dyDescent="0.2">
      <c r="A203" s="169"/>
      <c r="B203" s="333"/>
      <c r="C203" s="609"/>
    </row>
    <row r="204" spans="1:3" s="168" customFormat="1" ht="62.25" hidden="1" customHeight="1" x14ac:dyDescent="0.2">
      <c r="A204" s="533" t="s">
        <v>506</v>
      </c>
      <c r="B204" s="878" t="str">
        <f>IF(OR(B198="Yes",B200="Yes"),"Answer Required","N/A")</f>
        <v>N/A</v>
      </c>
      <c r="C204" s="651" t="s">
        <v>1079</v>
      </c>
    </row>
    <row r="205" spans="1:3" s="168" customFormat="1" ht="71.25" hidden="1" customHeight="1" x14ac:dyDescent="0.2">
      <c r="A205" s="743"/>
      <c r="B205" s="333"/>
      <c r="C205" s="876" t="str">
        <f>IF(B204="Yes","Answer Required","N/A")</f>
        <v>N/A</v>
      </c>
    </row>
    <row r="206" spans="1:3" s="168" customFormat="1" ht="119.25" hidden="1" customHeight="1" x14ac:dyDescent="0.2">
      <c r="A206" s="532"/>
      <c r="B206" s="535"/>
      <c r="C206" s="651" t="s">
        <v>919</v>
      </c>
    </row>
    <row r="207" spans="1:3" s="168" customFormat="1" ht="106.5" hidden="1" customHeight="1" x14ac:dyDescent="0.2">
      <c r="A207" s="743" t="s">
        <v>143</v>
      </c>
      <c r="B207" s="877" t="s">
        <v>1038</v>
      </c>
      <c r="C207" s="764" t="s">
        <v>1080</v>
      </c>
    </row>
    <row r="208" spans="1:3" s="168" customFormat="1" ht="71.25" hidden="1" customHeight="1" x14ac:dyDescent="0.2">
      <c r="A208" s="532"/>
      <c r="B208" s="535"/>
      <c r="C208" s="876" t="str">
        <f>IF(B207="Yes","Answer Required","N/A")</f>
        <v>N/A</v>
      </c>
    </row>
    <row r="209" spans="1:14" s="168" customFormat="1" ht="179.25" customHeight="1" x14ac:dyDescent="0.2">
      <c r="A209" s="590" t="s">
        <v>143</v>
      </c>
      <c r="B209" s="685" t="s">
        <v>1038</v>
      </c>
      <c r="C209" s="651" t="s">
        <v>1535</v>
      </c>
    </row>
    <row r="210" spans="1:14" s="168" customFormat="1" ht="71.25" customHeight="1" x14ac:dyDescent="0.2">
      <c r="A210" s="532"/>
      <c r="B210" s="535"/>
      <c r="C210" s="671" t="str">
        <f>IF(B209="Yes","Answer Required","N/A")</f>
        <v>N/A</v>
      </c>
    </row>
    <row r="211" spans="1:14" s="168" customFormat="1" ht="71.25" hidden="1" customHeight="1" x14ac:dyDescent="0.2">
      <c r="A211" s="590" t="s">
        <v>143</v>
      </c>
      <c r="B211" s="875" t="s">
        <v>1038</v>
      </c>
      <c r="C211" s="651" t="s">
        <v>1262</v>
      </c>
    </row>
    <row r="212" spans="1:14" s="168" customFormat="1" ht="71.25" hidden="1" customHeight="1" x14ac:dyDescent="0.2">
      <c r="A212" s="532"/>
      <c r="B212" s="535"/>
      <c r="C212" s="876" t="str">
        <f>IF(B211="Yes","Answer Required","N/A")</f>
        <v>N/A</v>
      </c>
    </row>
    <row r="213" spans="1:14" s="168" customFormat="1" ht="8.25" hidden="1" customHeight="1" x14ac:dyDescent="0.2">
      <c r="A213" s="169"/>
      <c r="B213" s="333"/>
      <c r="C213" s="609"/>
    </row>
    <row r="214" spans="1:14" s="168" customFormat="1" ht="8.25" hidden="1" customHeight="1" x14ac:dyDescent="0.2">
      <c r="A214" s="169"/>
      <c r="B214" s="333"/>
      <c r="C214" s="609"/>
    </row>
    <row r="215" spans="1:14" s="168" customFormat="1" ht="58.5" hidden="1" customHeight="1" x14ac:dyDescent="0.2">
      <c r="A215" s="590" t="s">
        <v>506</v>
      </c>
      <c r="B215" s="878" t="str">
        <f>IF(OR(B193="Yes",B195="Yes",B198="Yes",B200="Yes",B204="Yes",B207="Yes",B209="Yes",B211="Yes"),"Answer Required","N/A")</f>
        <v>N/A</v>
      </c>
      <c r="C215" s="689" t="s">
        <v>1081</v>
      </c>
    </row>
    <row r="216" spans="1:14" s="168" customFormat="1" ht="71.25" hidden="1" customHeight="1" x14ac:dyDescent="0.2">
      <c r="A216" s="532"/>
      <c r="B216" s="535"/>
      <c r="C216" s="876" t="str">
        <f>IF(B215="No","Answer Required","N/A")</f>
        <v>N/A</v>
      </c>
    </row>
    <row r="217" spans="1:14" s="168" customFormat="1" ht="71.25" hidden="1" customHeight="1" x14ac:dyDescent="0.2">
      <c r="A217" s="590" t="s">
        <v>143</v>
      </c>
      <c r="B217" s="592"/>
      <c r="C217" s="581" t="s">
        <v>442</v>
      </c>
    </row>
    <row r="218" spans="1:14" s="168" customFormat="1" ht="71.25" hidden="1" customHeight="1" x14ac:dyDescent="0.2">
      <c r="A218" s="532"/>
      <c r="B218" s="535"/>
      <c r="C218" s="592"/>
    </row>
    <row r="219" spans="1:14" s="168" customFormat="1" ht="138.75" hidden="1" customHeight="1" x14ac:dyDescent="0.2">
      <c r="A219" s="590" t="s">
        <v>143</v>
      </c>
      <c r="B219" s="875" t="s">
        <v>1038</v>
      </c>
      <c r="C219" s="689" t="s">
        <v>1222</v>
      </c>
    </row>
    <row r="220" spans="1:14" s="168" customFormat="1" ht="71.25" hidden="1" customHeight="1" x14ac:dyDescent="0.2">
      <c r="A220" s="532"/>
      <c r="B220" s="535"/>
      <c r="C220" s="876" t="str">
        <f>IF(B219="Yes","Answer Required","N/A")</f>
        <v>N/A</v>
      </c>
    </row>
    <row r="221" spans="1:14" ht="43.5" customHeight="1" x14ac:dyDescent="0.2">
      <c r="A221" s="1429" t="s">
        <v>1082</v>
      </c>
      <c r="B221" s="1429"/>
      <c r="C221" s="1429"/>
    </row>
    <row r="222" spans="1:14" customFormat="1" ht="12.75" x14ac:dyDescent="0.2">
      <c r="A222" s="1437"/>
      <c r="B222" s="1438"/>
      <c r="C222" s="1439"/>
      <c r="D222" s="582"/>
      <c r="E222" s="582"/>
      <c r="F222" s="582"/>
      <c r="G222" s="582"/>
      <c r="H222" s="582"/>
      <c r="I222" s="582"/>
      <c r="J222" s="582"/>
      <c r="K222" s="582"/>
      <c r="L222" s="582"/>
      <c r="M222" s="582"/>
      <c r="N222" s="582"/>
    </row>
    <row r="223" spans="1:14" customFormat="1" ht="83.25" customHeight="1" x14ac:dyDescent="0.2">
      <c r="A223" s="590" t="s">
        <v>143</v>
      </c>
      <c r="B223" s="685" t="s">
        <v>1038</v>
      </c>
      <c r="C223" s="711" t="s">
        <v>1340</v>
      </c>
      <c r="D223" s="582"/>
      <c r="E223" s="582"/>
      <c r="F223" s="582"/>
      <c r="G223" s="582"/>
      <c r="H223" s="582"/>
      <c r="I223" s="582"/>
      <c r="J223" s="582"/>
      <c r="K223" s="582"/>
      <c r="L223" s="582"/>
      <c r="M223" s="582"/>
      <c r="N223" s="582"/>
    </row>
    <row r="224" spans="1:14" customFormat="1" ht="85.5" customHeight="1" x14ac:dyDescent="0.2">
      <c r="A224" s="743"/>
      <c r="B224" s="593"/>
      <c r="C224" s="672" t="str">
        <f>IF(B223="Yes","Answer Required","N/A")</f>
        <v>N/A</v>
      </c>
      <c r="D224" s="582"/>
      <c r="E224" s="582"/>
      <c r="F224" s="582"/>
      <c r="G224" s="582"/>
      <c r="H224" s="582"/>
      <c r="I224" s="582"/>
      <c r="J224" s="582"/>
      <c r="K224" s="582"/>
      <c r="L224" s="582"/>
      <c r="M224" s="582"/>
      <c r="N224" s="582"/>
    </row>
    <row r="225" spans="1:14" customFormat="1" ht="36" customHeight="1" x14ac:dyDescent="0.2">
      <c r="A225" s="743"/>
      <c r="B225" s="593"/>
      <c r="C225" s="887" t="s">
        <v>1341</v>
      </c>
      <c r="D225" s="582"/>
      <c r="E225" s="582"/>
      <c r="F225" s="582"/>
      <c r="G225" s="582"/>
      <c r="H225" s="582"/>
      <c r="I225" s="582"/>
      <c r="J225" s="582"/>
      <c r="K225" s="582"/>
      <c r="L225" s="582"/>
      <c r="M225" s="582"/>
      <c r="N225" s="582"/>
    </row>
    <row r="226" spans="1:14" customFormat="1" ht="47.25" customHeight="1" x14ac:dyDescent="0.2">
      <c r="A226" s="743"/>
      <c r="B226" s="593"/>
      <c r="C226" s="585" t="s">
        <v>630</v>
      </c>
      <c r="D226" s="582"/>
      <c r="E226" s="582"/>
      <c r="F226" s="582"/>
      <c r="G226" s="582"/>
      <c r="H226" s="582"/>
      <c r="I226" s="582"/>
      <c r="J226" s="582"/>
      <c r="K226" s="582"/>
      <c r="L226" s="582"/>
      <c r="M226" s="582"/>
      <c r="N226" s="582"/>
    </row>
    <row r="227" spans="1:14" customFormat="1" ht="51" customHeight="1" x14ac:dyDescent="0.2">
      <c r="A227" s="743"/>
      <c r="B227" s="593"/>
      <c r="C227" s="585" t="s">
        <v>631</v>
      </c>
      <c r="D227" s="582"/>
      <c r="E227" s="582"/>
      <c r="F227" s="582"/>
      <c r="G227" s="582"/>
      <c r="H227" s="582"/>
      <c r="I227" s="582"/>
      <c r="J227" s="582"/>
      <c r="K227" s="582"/>
      <c r="L227" s="582"/>
      <c r="M227" s="582"/>
      <c r="N227" s="582"/>
    </row>
    <row r="228" spans="1:14" customFormat="1" ht="59.25" customHeight="1" x14ac:dyDescent="0.2">
      <c r="A228" s="743"/>
      <c r="B228" s="593"/>
      <c r="C228" s="585" t="s">
        <v>808</v>
      </c>
      <c r="D228" s="582"/>
      <c r="E228" s="582"/>
      <c r="F228" s="582"/>
      <c r="G228" s="582"/>
      <c r="H228" s="582"/>
      <c r="I228" s="582"/>
      <c r="J228" s="582"/>
      <c r="K228" s="582"/>
      <c r="L228" s="582"/>
      <c r="M228" s="582"/>
      <c r="N228" s="582"/>
    </row>
    <row r="229" spans="1:14" customFormat="1" ht="40.5" customHeight="1" x14ac:dyDescent="0.2">
      <c r="A229" s="743"/>
      <c r="B229" s="593"/>
      <c r="C229" s="585" t="s">
        <v>809</v>
      </c>
      <c r="D229" s="582"/>
      <c r="E229" s="582"/>
      <c r="F229" s="582"/>
      <c r="G229" s="582"/>
      <c r="H229" s="582"/>
      <c r="I229" s="582"/>
      <c r="J229" s="582"/>
      <c r="K229" s="582"/>
      <c r="L229" s="582"/>
      <c r="M229" s="582"/>
      <c r="N229" s="582"/>
    </row>
    <row r="230" spans="1:14" customFormat="1" ht="90" customHeight="1" x14ac:dyDescent="0.2">
      <c r="A230" s="532"/>
      <c r="B230" s="591"/>
      <c r="C230" s="586" t="s">
        <v>778</v>
      </c>
      <c r="D230" s="582"/>
      <c r="E230" s="582"/>
      <c r="F230" s="582"/>
      <c r="G230" s="582"/>
      <c r="H230" s="582"/>
      <c r="I230" s="582"/>
      <c r="J230" s="582"/>
      <c r="K230" s="582"/>
      <c r="L230" s="582"/>
      <c r="M230" s="582"/>
      <c r="N230" s="582"/>
    </row>
    <row r="231" spans="1:14" customFormat="1" ht="9" hidden="1" customHeight="1" x14ac:dyDescent="0.2">
      <c r="A231" s="169"/>
      <c r="B231" s="610"/>
      <c r="C231" s="610"/>
      <c r="D231" s="582"/>
      <c r="E231" s="582"/>
      <c r="F231" s="582"/>
      <c r="G231" s="582"/>
      <c r="H231" s="582"/>
      <c r="I231" s="582"/>
      <c r="J231" s="582"/>
      <c r="K231" s="582"/>
      <c r="L231" s="582"/>
      <c r="M231" s="582"/>
      <c r="N231" s="582"/>
    </row>
    <row r="232" spans="1:14" customFormat="1" ht="9" hidden="1" customHeight="1" x14ac:dyDescent="0.2">
      <c r="A232" s="169"/>
      <c r="B232" s="610"/>
      <c r="C232" s="610"/>
      <c r="D232" s="582"/>
      <c r="E232" s="582"/>
      <c r="F232" s="582"/>
      <c r="G232" s="582"/>
      <c r="H232" s="582"/>
      <c r="I232" s="582"/>
      <c r="J232" s="582"/>
      <c r="K232" s="582"/>
      <c r="L232" s="582"/>
      <c r="M232" s="582"/>
      <c r="N232" s="582"/>
    </row>
    <row r="233" spans="1:14" customFormat="1" ht="114" hidden="1" customHeight="1" x14ac:dyDescent="0.2">
      <c r="A233" s="590" t="s">
        <v>143</v>
      </c>
      <c r="B233" s="879" t="str">
        <f>IF(B223="Yes","Answer Required","N/A")</f>
        <v>N/A</v>
      </c>
      <c r="C233" s="711" t="s">
        <v>1083</v>
      </c>
      <c r="D233" s="582"/>
      <c r="E233" s="582"/>
      <c r="F233" s="582" t="s">
        <v>779</v>
      </c>
      <c r="G233" s="582"/>
      <c r="H233" s="582"/>
      <c r="I233" s="582"/>
      <c r="J233" s="582"/>
      <c r="K233" s="582"/>
      <c r="L233" s="582"/>
      <c r="M233" s="582"/>
      <c r="N233" s="582"/>
    </row>
    <row r="234" spans="1:14" customFormat="1" ht="114" hidden="1" customHeight="1" x14ac:dyDescent="0.2">
      <c r="A234" s="532"/>
      <c r="B234" s="587"/>
      <c r="C234" s="880" t="str">
        <f>IF(B233="No","Answer Required","N/A")</f>
        <v>N/A</v>
      </c>
      <c r="D234" s="582"/>
      <c r="E234" s="582"/>
      <c r="F234" s="582"/>
      <c r="G234" s="582"/>
      <c r="H234" s="582"/>
      <c r="I234" s="582"/>
      <c r="J234" s="582"/>
      <c r="K234" s="582"/>
      <c r="L234" s="582"/>
      <c r="M234" s="582"/>
      <c r="N234" s="582"/>
    </row>
    <row r="235" spans="1:14" customFormat="1" ht="159" hidden="1" customHeight="1" x14ac:dyDescent="0.2">
      <c r="A235" s="590" t="s">
        <v>143</v>
      </c>
      <c r="B235" s="879" t="str">
        <f>IF(B233="No","Answer Required","N/A")</f>
        <v>N/A</v>
      </c>
      <c r="C235" s="711" t="s">
        <v>1131</v>
      </c>
      <c r="D235" s="582"/>
      <c r="E235" s="582"/>
      <c r="F235" s="582"/>
      <c r="G235" s="582"/>
      <c r="H235" s="582"/>
      <c r="I235" s="582"/>
      <c r="J235" s="582"/>
      <c r="K235" s="582"/>
      <c r="L235" s="582"/>
      <c r="M235" s="582"/>
      <c r="N235" s="582"/>
    </row>
    <row r="236" spans="1:14" customFormat="1" ht="102.75" hidden="1" customHeight="1" x14ac:dyDescent="0.2">
      <c r="A236" s="743"/>
      <c r="B236" s="593"/>
      <c r="C236" s="880" t="str">
        <f>IF(OR(B235="Yes",B235="No"),"Answer Required","N/A")</f>
        <v>N/A</v>
      </c>
      <c r="D236" s="582"/>
      <c r="E236" s="582"/>
      <c r="F236" s="582"/>
      <c r="G236" s="582"/>
      <c r="H236" s="582"/>
      <c r="I236" s="582"/>
      <c r="J236" s="582"/>
      <c r="K236" s="582"/>
      <c r="L236" s="582"/>
      <c r="M236" s="582"/>
      <c r="N236" s="582"/>
    </row>
    <row r="237" spans="1:14" customFormat="1" ht="70.5" hidden="1" customHeight="1" x14ac:dyDescent="0.2">
      <c r="A237" s="590" t="s">
        <v>143</v>
      </c>
      <c r="B237" s="879" t="str">
        <f>IF(OR(B233="Yes",B235="Yes"),"Answer Required","N/A")</f>
        <v>N/A</v>
      </c>
      <c r="C237" s="711" t="s">
        <v>1084</v>
      </c>
      <c r="D237" s="582"/>
      <c r="E237" s="582"/>
      <c r="F237" s="582"/>
      <c r="G237" s="582"/>
      <c r="H237" s="582"/>
      <c r="I237" s="582"/>
      <c r="J237" s="582"/>
      <c r="K237" s="582"/>
      <c r="L237" s="582"/>
      <c r="M237" s="582"/>
      <c r="N237" s="582"/>
    </row>
    <row r="238" spans="1:14" customFormat="1" ht="87.75" hidden="1" customHeight="1" x14ac:dyDescent="0.2">
      <c r="A238" s="532"/>
      <c r="B238" s="591"/>
      <c r="C238" s="880" t="str">
        <f>IF(B237="No","Answer Required","N/A")</f>
        <v>N/A</v>
      </c>
      <c r="D238" s="582"/>
      <c r="E238" s="582"/>
      <c r="F238" s="582"/>
      <c r="G238" s="582"/>
      <c r="H238" s="582"/>
      <c r="I238" s="582"/>
      <c r="J238" s="582"/>
      <c r="K238" s="582"/>
      <c r="L238" s="582"/>
      <c r="M238" s="582"/>
      <c r="N238" s="582"/>
    </row>
    <row r="239" spans="1:14" customFormat="1" ht="92.25" hidden="1" customHeight="1" x14ac:dyDescent="0.2">
      <c r="A239" s="533" t="s">
        <v>506</v>
      </c>
      <c r="B239" s="584"/>
      <c r="C239" s="583" t="s">
        <v>267</v>
      </c>
      <c r="D239" s="582"/>
      <c r="E239" s="582"/>
      <c r="F239" s="582"/>
      <c r="G239" s="582"/>
      <c r="H239" s="582"/>
      <c r="I239" s="582"/>
      <c r="J239" s="582"/>
      <c r="K239" s="582"/>
      <c r="L239" s="582"/>
      <c r="M239" s="582"/>
      <c r="N239" s="582"/>
    </row>
    <row r="240" spans="1:14" customFormat="1" ht="68.25" hidden="1" customHeight="1" x14ac:dyDescent="0.2">
      <c r="A240" s="590"/>
      <c r="B240" s="589"/>
      <c r="C240" s="588"/>
      <c r="D240" s="582"/>
      <c r="E240" s="582"/>
      <c r="F240" s="582"/>
      <c r="G240" s="582"/>
      <c r="H240" s="582"/>
      <c r="I240" s="582"/>
      <c r="J240" s="582"/>
      <c r="K240" s="582"/>
      <c r="L240" s="582"/>
      <c r="M240" s="582"/>
      <c r="N240" s="582"/>
    </row>
    <row r="241" spans="1:14" customFormat="1" ht="68.25" hidden="1" customHeight="1" x14ac:dyDescent="0.2">
      <c r="A241" s="590" t="s">
        <v>143</v>
      </c>
      <c r="B241" s="879" t="str">
        <f>IF(B223="Yes","Answer Required","N/A")</f>
        <v>N/A</v>
      </c>
      <c r="C241" s="711" t="s">
        <v>1085</v>
      </c>
      <c r="D241" s="582"/>
      <c r="E241" s="582"/>
      <c r="F241" s="582"/>
      <c r="G241" s="582"/>
      <c r="H241" s="582"/>
      <c r="I241" s="582"/>
      <c r="J241" s="582"/>
      <c r="K241" s="582"/>
      <c r="L241" s="582"/>
      <c r="M241" s="582"/>
      <c r="N241" s="582"/>
    </row>
    <row r="242" spans="1:14" customFormat="1" ht="68.25" hidden="1" customHeight="1" x14ac:dyDescent="0.2">
      <c r="A242" s="532"/>
      <c r="B242" s="591"/>
      <c r="C242" s="880" t="str">
        <f>IF(OR(B241="Yes",B241="No"),"Answer Required","N/A")</f>
        <v>N/A</v>
      </c>
      <c r="D242" s="582"/>
      <c r="E242" s="582"/>
      <c r="F242" s="582"/>
      <c r="G242" s="582"/>
      <c r="H242" s="582"/>
      <c r="I242" s="582"/>
      <c r="J242" s="582"/>
      <c r="K242" s="582"/>
      <c r="L242" s="582"/>
      <c r="M242" s="582"/>
      <c r="N242" s="582"/>
    </row>
    <row r="243" spans="1:14" customFormat="1" ht="15" hidden="1" customHeight="1" x14ac:dyDescent="0.2">
      <c r="A243" s="169"/>
      <c r="B243" s="610"/>
      <c r="C243" s="611"/>
      <c r="D243" s="582"/>
      <c r="E243" s="582"/>
      <c r="F243" s="582"/>
      <c r="G243" s="582"/>
      <c r="H243" s="582"/>
      <c r="I243" s="582"/>
      <c r="J243" s="582"/>
      <c r="K243" s="582"/>
      <c r="L243" s="582"/>
      <c r="M243" s="582"/>
      <c r="N243" s="582"/>
    </row>
    <row r="244" spans="1:14" customFormat="1" ht="7.5" hidden="1" customHeight="1" x14ac:dyDescent="0.2">
      <c r="A244" s="169"/>
      <c r="B244" s="610"/>
      <c r="C244" s="611"/>
      <c r="D244" s="582"/>
      <c r="E244" s="582"/>
      <c r="F244" s="582"/>
      <c r="G244" s="582"/>
      <c r="H244" s="582"/>
      <c r="I244" s="582"/>
      <c r="J244" s="582"/>
      <c r="K244" s="582"/>
      <c r="L244" s="582"/>
      <c r="M244" s="582"/>
      <c r="N244" s="582"/>
    </row>
    <row r="245" spans="1:14" customFormat="1" ht="78.75" hidden="1" customHeight="1" x14ac:dyDescent="0.2">
      <c r="A245" s="590" t="s">
        <v>143</v>
      </c>
      <c r="B245" s="879" t="str">
        <f>IF(B223="Yes","Answer Required","N/A")</f>
        <v>N/A</v>
      </c>
      <c r="C245" s="711" t="s">
        <v>1086</v>
      </c>
      <c r="E245" s="582"/>
      <c r="F245" s="582"/>
      <c r="G245" s="582"/>
      <c r="H245" s="582"/>
      <c r="I245" s="582"/>
      <c r="J245" s="582"/>
      <c r="K245" s="582"/>
      <c r="L245" s="582"/>
      <c r="M245" s="582"/>
      <c r="N245" s="582"/>
    </row>
    <row r="246" spans="1:14" customFormat="1" ht="57" hidden="1" customHeight="1" x14ac:dyDescent="0.2">
      <c r="A246" s="532"/>
      <c r="B246" s="587"/>
      <c r="C246" s="881" t="str">
        <f>IF(B245="Yes","Answer Required","N/A")</f>
        <v>N/A</v>
      </c>
      <c r="E246" s="582"/>
      <c r="F246" s="582"/>
      <c r="G246" s="582"/>
      <c r="H246" s="582"/>
      <c r="I246" s="582"/>
      <c r="J246" s="582"/>
      <c r="K246" s="582"/>
      <c r="L246" s="582"/>
      <c r="M246" s="582"/>
      <c r="N246" s="582"/>
    </row>
    <row r="247" spans="1:14" customFormat="1" ht="93.75" hidden="1" customHeight="1" x14ac:dyDescent="0.2">
      <c r="A247" s="590" t="s">
        <v>143</v>
      </c>
      <c r="B247" s="879" t="str">
        <f>IF(B223="Yes","Answer Required","N/A")</f>
        <v>N/A</v>
      </c>
      <c r="C247" s="765" t="s">
        <v>1087</v>
      </c>
      <c r="E247" s="582"/>
      <c r="F247" s="582"/>
      <c r="G247" s="582"/>
      <c r="H247" s="582"/>
      <c r="I247" s="582"/>
      <c r="J247" s="582"/>
      <c r="K247" s="582"/>
      <c r="L247" s="582"/>
      <c r="M247" s="582"/>
      <c r="N247" s="582"/>
    </row>
    <row r="248" spans="1:14" customFormat="1" ht="60.75" hidden="1" customHeight="1" x14ac:dyDescent="0.2">
      <c r="A248" s="532"/>
      <c r="B248" s="591"/>
      <c r="C248" s="882" t="str">
        <f>IF(B247="Yes","Answer Required","N/A")</f>
        <v>N/A</v>
      </c>
      <c r="E248" s="582"/>
      <c r="F248" s="582"/>
      <c r="G248" s="582"/>
      <c r="H248" s="582"/>
      <c r="I248" s="582"/>
      <c r="J248" s="582"/>
      <c r="K248" s="582"/>
      <c r="L248" s="582"/>
      <c r="M248" s="582"/>
      <c r="N248" s="582"/>
    </row>
    <row r="249" spans="1:14" customFormat="1" ht="56.25" hidden="1" customHeight="1" x14ac:dyDescent="0.2">
      <c r="A249" s="173" t="s">
        <v>143</v>
      </c>
      <c r="B249" s="879" t="str">
        <f>IF(B223="Yes","Answer Required","N/A")</f>
        <v>N/A</v>
      </c>
      <c r="C249" s="765" t="s">
        <v>1088</v>
      </c>
      <c r="D249" s="582"/>
      <c r="E249" s="582"/>
      <c r="F249" s="582"/>
      <c r="G249" s="582"/>
      <c r="H249" s="582"/>
      <c r="I249" s="582"/>
      <c r="J249" s="582"/>
      <c r="K249" s="582"/>
      <c r="L249" s="582"/>
      <c r="M249" s="582"/>
      <c r="N249" s="582"/>
    </row>
    <row r="250" spans="1:14" customFormat="1" ht="51" hidden="1" customHeight="1" x14ac:dyDescent="0.2">
      <c r="A250" s="173" t="s">
        <v>143</v>
      </c>
      <c r="B250" s="879" t="str">
        <f>IF(B223="Yes","Answer Required","N/A")</f>
        <v>N/A</v>
      </c>
      <c r="C250" s="711" t="s">
        <v>1089</v>
      </c>
      <c r="D250" s="582"/>
      <c r="E250" s="582"/>
      <c r="F250" s="582"/>
      <c r="G250" s="582"/>
      <c r="H250" s="582"/>
      <c r="I250" s="582"/>
      <c r="J250" s="582"/>
      <c r="K250" s="582"/>
      <c r="L250" s="582"/>
      <c r="M250" s="582"/>
      <c r="N250" s="582"/>
    </row>
    <row r="251" spans="1:14" customFormat="1" ht="55.5" hidden="1" customHeight="1" x14ac:dyDescent="0.2">
      <c r="A251" s="590"/>
      <c r="B251" s="589"/>
      <c r="C251" s="880" t="str">
        <f>IF(B250="No","Answer Required","N/A")</f>
        <v>N/A</v>
      </c>
      <c r="D251" s="582"/>
      <c r="E251" s="582"/>
      <c r="F251" s="582"/>
      <c r="G251" s="582"/>
      <c r="H251" s="582"/>
      <c r="I251" s="582"/>
      <c r="J251" s="582"/>
      <c r="K251" s="582"/>
      <c r="L251" s="582"/>
      <c r="M251" s="582"/>
      <c r="N251" s="582"/>
    </row>
    <row r="252" spans="1:14" customFormat="1" ht="46.5" hidden="1" customHeight="1" x14ac:dyDescent="0.2">
      <c r="A252" s="532"/>
      <c r="B252" s="591"/>
      <c r="C252" s="765" t="s">
        <v>1223</v>
      </c>
      <c r="D252" s="582"/>
      <c r="E252" s="582"/>
      <c r="F252" s="582"/>
      <c r="G252" s="582"/>
      <c r="H252" s="582"/>
      <c r="I252" s="582"/>
      <c r="J252" s="582"/>
      <c r="K252" s="582"/>
      <c r="L252" s="582"/>
      <c r="M252" s="582"/>
      <c r="N252" s="582"/>
    </row>
    <row r="253" spans="1:14" customFormat="1" ht="45.75" hidden="1" customHeight="1" x14ac:dyDescent="0.2">
      <c r="A253" s="1446" t="s">
        <v>40</v>
      </c>
      <c r="B253" s="1446"/>
      <c r="C253" s="883"/>
      <c r="D253" s="582"/>
      <c r="E253" s="582"/>
      <c r="F253" s="582"/>
      <c r="G253" s="582"/>
      <c r="H253" s="582"/>
      <c r="I253" s="582"/>
      <c r="J253" s="582"/>
      <c r="K253" s="582"/>
      <c r="L253" s="582"/>
      <c r="M253" s="582"/>
      <c r="N253" s="582"/>
    </row>
    <row r="254" spans="1:14" customFormat="1" ht="45.75" hidden="1" customHeight="1" x14ac:dyDescent="0.2">
      <c r="A254" s="1436" t="s">
        <v>41</v>
      </c>
      <c r="B254" s="1436"/>
      <c r="C254" s="884"/>
      <c r="D254" s="582"/>
      <c r="E254" s="582"/>
      <c r="F254" s="582"/>
      <c r="G254" s="582"/>
      <c r="H254" s="582"/>
      <c r="I254" s="582"/>
      <c r="J254" s="582"/>
      <c r="K254" s="582"/>
      <c r="L254" s="582"/>
      <c r="M254" s="582"/>
      <c r="N254" s="582"/>
    </row>
    <row r="255" spans="1:14" customFormat="1" ht="79.5" hidden="1" customHeight="1" x14ac:dyDescent="0.2">
      <c r="A255" s="1436" t="s">
        <v>42</v>
      </c>
      <c r="B255" s="1436"/>
      <c r="C255" s="884"/>
      <c r="D255" s="582"/>
      <c r="E255" s="582"/>
      <c r="F255" s="582"/>
      <c r="G255" s="582"/>
      <c r="H255" s="582"/>
      <c r="I255" s="582"/>
      <c r="J255" s="582"/>
      <c r="K255" s="582"/>
      <c r="L255" s="582"/>
      <c r="M255" s="582"/>
      <c r="N255" s="582"/>
    </row>
    <row r="256" spans="1:14" customFormat="1" ht="45.75" hidden="1" customHeight="1" x14ac:dyDescent="0.2">
      <c r="A256" s="1436" t="s">
        <v>43</v>
      </c>
      <c r="B256" s="1436"/>
      <c r="C256" s="598">
        <f>SUM(C254:C255)</f>
        <v>0</v>
      </c>
      <c r="D256" s="582"/>
      <c r="E256" s="582"/>
      <c r="F256" s="582"/>
      <c r="G256" s="582"/>
      <c r="H256" s="582"/>
      <c r="I256" s="582"/>
      <c r="J256" s="582"/>
      <c r="K256" s="582"/>
      <c r="L256" s="582"/>
      <c r="M256" s="582"/>
      <c r="N256" s="582"/>
    </row>
    <row r="257" spans="1:14" customFormat="1" ht="63.75" hidden="1" customHeight="1" x14ac:dyDescent="0.2">
      <c r="A257" s="1436" t="s">
        <v>342</v>
      </c>
      <c r="B257" s="1436"/>
      <c r="C257" s="880"/>
      <c r="D257" s="582"/>
      <c r="E257" s="582"/>
      <c r="F257" s="582"/>
      <c r="G257" s="582"/>
      <c r="H257" s="582"/>
      <c r="I257" s="582"/>
      <c r="J257" s="582"/>
      <c r="K257" s="582"/>
      <c r="L257" s="582"/>
      <c r="M257" s="582"/>
      <c r="N257" s="582"/>
    </row>
    <row r="258" spans="1:14" customFormat="1" ht="63.75" hidden="1" customHeight="1" x14ac:dyDescent="0.2">
      <c r="A258" s="1436" t="s">
        <v>798</v>
      </c>
      <c r="B258" s="1436"/>
      <c r="C258" s="880"/>
      <c r="D258" s="582"/>
      <c r="E258" s="582"/>
      <c r="F258" s="582"/>
      <c r="G258" s="582"/>
      <c r="H258" s="582"/>
      <c r="I258" s="582"/>
      <c r="J258" s="582"/>
      <c r="K258" s="582"/>
      <c r="L258" s="582"/>
      <c r="M258" s="582"/>
      <c r="N258" s="582"/>
    </row>
    <row r="259" spans="1:14" customFormat="1" ht="84.75" hidden="1" customHeight="1" x14ac:dyDescent="0.2">
      <c r="A259" s="1436" t="s">
        <v>799</v>
      </c>
      <c r="B259" s="1436"/>
      <c r="C259" s="880"/>
      <c r="D259" s="582"/>
      <c r="E259" s="582"/>
      <c r="F259" s="582"/>
      <c r="G259" s="582"/>
      <c r="H259" s="582"/>
      <c r="I259" s="582"/>
      <c r="J259" s="582"/>
      <c r="K259" s="582"/>
      <c r="L259" s="582"/>
      <c r="M259" s="582"/>
      <c r="N259" s="582"/>
    </row>
    <row r="260" spans="1:14" hidden="1" x14ac:dyDescent="0.2"/>
    <row r="261" spans="1:14" ht="17.25" hidden="1" customHeight="1" x14ac:dyDescent="0.2">
      <c r="A261" s="1429" t="s">
        <v>1090</v>
      </c>
      <c r="B261" s="1429"/>
      <c r="C261" s="1429"/>
      <c r="N261" s="718" t="s">
        <v>566</v>
      </c>
    </row>
    <row r="262" spans="1:14" ht="58.5" hidden="1" customHeight="1" x14ac:dyDescent="0.2">
      <c r="A262" s="1390" t="s">
        <v>1111</v>
      </c>
      <c r="B262" s="1433"/>
      <c r="C262" s="1434"/>
      <c r="N262" s="441">
        <f>SUM(FST!G100,FST!G110,FST!G111,FST!G112,FST!G114)</f>
        <v>0</v>
      </c>
    </row>
    <row r="263" spans="1:14" ht="11.25" hidden="1" customHeight="1" x14ac:dyDescent="0.2">
      <c r="A263" s="544" t="s">
        <v>143</v>
      </c>
      <c r="B263" s="875" t="s">
        <v>1038</v>
      </c>
      <c r="C263" s="173"/>
    </row>
    <row r="264" spans="1:14" ht="73.5" hidden="1" customHeight="1" x14ac:dyDescent="0.2">
      <c r="A264" s="1390" t="s">
        <v>1224</v>
      </c>
      <c r="B264" s="1433"/>
      <c r="C264" s="1434"/>
    </row>
    <row r="265" spans="1:14" hidden="1" x14ac:dyDescent="0.2">
      <c r="A265" s="544" t="s">
        <v>143</v>
      </c>
      <c r="B265" s="875" t="s">
        <v>1038</v>
      </c>
      <c r="C265" s="173"/>
    </row>
    <row r="266" spans="1:14" ht="72.75" hidden="1" customHeight="1" x14ac:dyDescent="0.2">
      <c r="A266" s="1404" t="str">
        <f>IF(B265="Yes","Answer Required","N/A")</f>
        <v>N/A</v>
      </c>
      <c r="B266" s="1443"/>
      <c r="C266" s="1444"/>
    </row>
    <row r="267" spans="1:14" ht="65.25" hidden="1" customHeight="1" x14ac:dyDescent="0.2">
      <c r="A267" s="1390" t="s">
        <v>1112</v>
      </c>
      <c r="B267" s="1433"/>
      <c r="C267" s="1434"/>
    </row>
    <row r="268" spans="1:14" hidden="1" x14ac:dyDescent="0.2">
      <c r="A268" s="983" t="s">
        <v>143</v>
      </c>
      <c r="B268" s="875" t="s">
        <v>1038</v>
      </c>
      <c r="C268" s="959"/>
    </row>
    <row r="269" spans="1:14" ht="83.25" hidden="1" customHeight="1" x14ac:dyDescent="0.2">
      <c r="A269" s="1404" t="str">
        <f>IF(B268="Yes","Answer Required","N/A")</f>
        <v>N/A</v>
      </c>
      <c r="B269" s="1443"/>
      <c r="C269" s="1444"/>
    </row>
    <row r="270" spans="1:14" ht="36.75" hidden="1" customHeight="1" x14ac:dyDescent="0.2">
      <c r="A270" s="1390" t="s">
        <v>1091</v>
      </c>
      <c r="B270" s="1433"/>
      <c r="C270" s="1434"/>
    </row>
    <row r="271" spans="1:14" hidden="1" x14ac:dyDescent="0.2">
      <c r="A271" s="607" t="s">
        <v>506</v>
      </c>
      <c r="B271" s="873" t="str">
        <f>IF(OR(B263="Yes",B265="Yes",B268="Yes"),"Answer Required","N/A")</f>
        <v>N/A</v>
      </c>
      <c r="C271" s="608"/>
    </row>
    <row r="272" spans="1:14" ht="70.5" hidden="1" customHeight="1" x14ac:dyDescent="0.2">
      <c r="A272" s="1404" t="str">
        <f>IF(B271="No","Answer Required","N/A")</f>
        <v>N/A</v>
      </c>
      <c r="B272" s="1443"/>
      <c r="C272" s="1444"/>
    </row>
    <row r="273" spans="1:3" ht="31.5" customHeight="1" x14ac:dyDescent="0.2"/>
    <row r="274" spans="1:3" ht="12.75" x14ac:dyDescent="0.2">
      <c r="A274" s="603" t="s">
        <v>1259</v>
      </c>
      <c r="B274"/>
      <c r="C274"/>
    </row>
    <row r="275" spans="1:3" x14ac:dyDescent="0.2">
      <c r="A275" s="1475"/>
      <c r="B275" s="1476"/>
      <c r="C275" s="1477"/>
    </row>
    <row r="276" spans="1:3" ht="72" hidden="1" customHeight="1" x14ac:dyDescent="0.2">
      <c r="A276" s="1440" t="s">
        <v>1150</v>
      </c>
      <c r="B276" s="1441"/>
      <c r="C276" s="1442"/>
    </row>
    <row r="277" spans="1:3" ht="51.75" hidden="1" customHeight="1" x14ac:dyDescent="0.2">
      <c r="A277" s="1440" t="s">
        <v>984</v>
      </c>
      <c r="B277" s="1441"/>
      <c r="C277" s="1442"/>
    </row>
    <row r="278" spans="1:3" ht="49.5" hidden="1" customHeight="1" x14ac:dyDescent="0.2">
      <c r="A278" s="1440" t="s">
        <v>999</v>
      </c>
      <c r="B278" s="1441"/>
      <c r="C278" s="1442"/>
    </row>
    <row r="279" spans="1:3" ht="1.5" customHeight="1" x14ac:dyDescent="0.2">
      <c r="A279" s="604"/>
      <c r="B279" s="605"/>
      <c r="C279" s="606"/>
    </row>
    <row r="280" spans="1:3" ht="87" customHeight="1" x14ac:dyDescent="0.2">
      <c r="A280" s="173" t="s">
        <v>143</v>
      </c>
      <c r="B280" s="685" t="s">
        <v>1038</v>
      </c>
      <c r="C280" s="651" t="s">
        <v>1814</v>
      </c>
    </row>
    <row r="281" spans="1:3" ht="54" hidden="1" customHeight="1" x14ac:dyDescent="0.2">
      <c r="A281" s="173" t="s">
        <v>506</v>
      </c>
      <c r="B281" s="873" t="str">
        <f>IF(B280="Yes","Answer Required","N/A")</f>
        <v>N/A</v>
      </c>
      <c r="C281" s="652" t="s">
        <v>1151</v>
      </c>
    </row>
    <row r="282" spans="1:3" ht="73.5" customHeight="1" x14ac:dyDescent="0.2">
      <c r="A282" s="1488" t="str">
        <f>IF(B280="Yes","Answer Required","N/A")</f>
        <v>N/A</v>
      </c>
      <c r="B282" s="1489"/>
      <c r="C282" s="1459"/>
    </row>
    <row r="283" spans="1:3" ht="12.75" x14ac:dyDescent="0.2">
      <c r="A283" s="438"/>
      <c r="B283" s="438"/>
      <c r="C283" s="438"/>
    </row>
    <row r="284" spans="1:3" ht="45.75" hidden="1" customHeight="1" x14ac:dyDescent="0.2">
      <c r="A284" s="1482" t="s">
        <v>1615</v>
      </c>
      <c r="B284" s="1482"/>
      <c r="C284" s="1482"/>
    </row>
    <row r="285" spans="1:3" ht="72.75" hidden="1" customHeight="1" x14ac:dyDescent="0.2">
      <c r="A285" s="1483" t="s">
        <v>1616</v>
      </c>
      <c r="B285" s="1484"/>
      <c r="C285" s="1485"/>
    </row>
    <row r="286" spans="1:3" ht="70.5" hidden="1" customHeight="1" x14ac:dyDescent="0.2">
      <c r="A286" s="1096" t="s">
        <v>143</v>
      </c>
      <c r="B286" s="1097" t="s">
        <v>1038</v>
      </c>
      <c r="C286" s="1098" t="s">
        <v>1617</v>
      </c>
    </row>
    <row r="287" spans="1:3" ht="45.75" hidden="1" customHeight="1" x14ac:dyDescent="0.2">
      <c r="A287" s="1096" t="s">
        <v>506</v>
      </c>
      <c r="B287" s="1099" t="str">
        <f>IF(B286="Yes","Answer Required","N/A")</f>
        <v>N/A</v>
      </c>
      <c r="C287" s="1096" t="s">
        <v>1092</v>
      </c>
    </row>
    <row r="288" spans="1:3" ht="54" hidden="1" customHeight="1" x14ac:dyDescent="0.2">
      <c r="A288" s="1096" t="s">
        <v>506</v>
      </c>
      <c r="B288" s="1099" t="str">
        <f>IF(B287="Yes","Answer Required","N/A")</f>
        <v>N/A</v>
      </c>
      <c r="C288" s="1096" t="s">
        <v>1093</v>
      </c>
    </row>
    <row r="289" spans="1:3" ht="48.75" hidden="1" customHeight="1" x14ac:dyDescent="0.2">
      <c r="A289" s="1096" t="s">
        <v>506</v>
      </c>
      <c r="B289" s="1099" t="str">
        <f>IF(B288="Yes","Answer Required","N/A")</f>
        <v>N/A</v>
      </c>
      <c r="C289" s="1096" t="s">
        <v>1094</v>
      </c>
    </row>
    <row r="290" spans="1:3" ht="48.75" hidden="1" customHeight="1" x14ac:dyDescent="0.2">
      <c r="A290" s="1096" t="s">
        <v>506</v>
      </c>
      <c r="B290" s="1099" t="str">
        <f>IF(B289="Yes","Answer Required","N/A")</f>
        <v>N/A</v>
      </c>
      <c r="C290" s="1096" t="s">
        <v>1095</v>
      </c>
    </row>
    <row r="291" spans="1:3" ht="73.5" hidden="1" customHeight="1" x14ac:dyDescent="0.2">
      <c r="A291" s="1096" t="s">
        <v>506</v>
      </c>
      <c r="B291" s="1099" t="str">
        <f>IF(AND(B286="Yes",B287="Yes",B288="Yes",B289="Yes",B290="Yes"),"Answer Required","N/A")</f>
        <v>N/A</v>
      </c>
      <c r="C291" s="1096" t="s">
        <v>1618</v>
      </c>
    </row>
    <row r="292" spans="1:3" ht="97.5" hidden="1" customHeight="1" x14ac:dyDescent="0.2">
      <c r="A292" s="1486" t="s">
        <v>1619</v>
      </c>
      <c r="B292" s="1487"/>
      <c r="C292" s="1487"/>
    </row>
    <row r="293" spans="1:3" ht="172.5" hidden="1" customHeight="1" x14ac:dyDescent="0.2">
      <c r="A293" s="1490" t="str">
        <f>IF(B289="Yes","Answer Required","N/A")</f>
        <v>N/A</v>
      </c>
      <c r="B293" s="1491"/>
      <c r="C293" s="1492"/>
    </row>
    <row r="294" spans="1:3" ht="117.75" hidden="1" customHeight="1" x14ac:dyDescent="0.2">
      <c r="A294" s="1096" t="s">
        <v>143</v>
      </c>
      <c r="B294" s="1100" t="s">
        <v>1038</v>
      </c>
      <c r="C294" s="1098" t="s">
        <v>1620</v>
      </c>
    </row>
    <row r="295" spans="1:3" ht="45.75" hidden="1" customHeight="1" x14ac:dyDescent="0.2">
      <c r="A295" s="1096" t="s">
        <v>506</v>
      </c>
      <c r="B295" s="1099" t="str">
        <f>IF(B294="Yes","Answer Required","N/A")</f>
        <v>N/A</v>
      </c>
      <c r="C295" s="1096" t="s">
        <v>1251</v>
      </c>
    </row>
    <row r="296" spans="1:3" ht="54" hidden="1" customHeight="1" x14ac:dyDescent="0.2">
      <c r="A296" s="1096" t="s">
        <v>506</v>
      </c>
      <c r="B296" s="1099" t="str">
        <f>IF(B295="Yes","Answer Required","N/A")</f>
        <v>N/A</v>
      </c>
      <c r="C296" s="1096" t="s">
        <v>1252</v>
      </c>
    </row>
    <row r="297" spans="1:3" ht="48.75" hidden="1" customHeight="1" x14ac:dyDescent="0.2">
      <c r="A297" s="1096" t="s">
        <v>506</v>
      </c>
      <c r="B297" s="1099" t="str">
        <f>IF(B296="Yes","Answer Required","N/A")</f>
        <v>N/A</v>
      </c>
      <c r="C297" s="1096" t="s">
        <v>1253</v>
      </c>
    </row>
    <row r="298" spans="1:3" ht="48.75" hidden="1" customHeight="1" x14ac:dyDescent="0.2">
      <c r="A298" s="1096" t="s">
        <v>506</v>
      </c>
      <c r="B298" s="1099" t="str">
        <f>IF(B297="Yes","Answer Required","N/A")</f>
        <v>N/A</v>
      </c>
      <c r="C298" s="1096" t="s">
        <v>1225</v>
      </c>
    </row>
    <row r="299" spans="1:3" ht="48.75" hidden="1" customHeight="1" x14ac:dyDescent="0.2">
      <c r="A299" s="1096" t="s">
        <v>506</v>
      </c>
      <c r="B299" s="1099" t="str">
        <f>IF(AND(B294="Yes",B295="Yes",B296="Yes",B297="Yes",B298="Yes"),"Answer Required","N/A")</f>
        <v>N/A</v>
      </c>
      <c r="C299" s="1096" t="s">
        <v>1621</v>
      </c>
    </row>
    <row r="300" spans="1:3" ht="10.5" hidden="1" customHeight="1" x14ac:dyDescent="0.2">
      <c r="A300" s="1486" t="s">
        <v>1622</v>
      </c>
      <c r="B300" s="1487"/>
      <c r="C300" s="1487"/>
    </row>
    <row r="301" spans="1:3" ht="222.75" hidden="1" customHeight="1" x14ac:dyDescent="0.2">
      <c r="A301" s="1493" t="str">
        <f>IF(B286="Yes","Answer Required","N/A")</f>
        <v>N/A</v>
      </c>
      <c r="B301" s="1494"/>
      <c r="C301" s="1495"/>
    </row>
    <row r="302" spans="1:3" ht="168" hidden="1" customHeight="1" x14ac:dyDescent="0.2">
      <c r="A302" s="1496" t="s">
        <v>1226</v>
      </c>
      <c r="B302" s="1497"/>
      <c r="C302" s="1498"/>
    </row>
    <row r="303" spans="1:3" hidden="1" x14ac:dyDescent="0.2"/>
    <row r="304" spans="1:3" hidden="1" x14ac:dyDescent="0.2">
      <c r="A304" s="1429" t="s">
        <v>1096</v>
      </c>
      <c r="B304" s="1429"/>
      <c r="C304" s="1429"/>
    </row>
    <row r="305" spans="1:3" ht="60.75" hidden="1" customHeight="1" x14ac:dyDescent="0.2">
      <c r="A305" s="1430" t="s">
        <v>1227</v>
      </c>
      <c r="B305" s="1431"/>
      <c r="C305" s="1432"/>
    </row>
    <row r="306" spans="1:3" ht="83.25" hidden="1" customHeight="1" x14ac:dyDescent="0.2">
      <c r="A306" s="1390" t="s">
        <v>1228</v>
      </c>
      <c r="B306" s="1391"/>
      <c r="C306" s="1392"/>
    </row>
    <row r="307" spans="1:3" hidden="1" x14ac:dyDescent="0.2">
      <c r="A307" s="963" t="s">
        <v>143</v>
      </c>
      <c r="B307" s="875" t="s">
        <v>1038</v>
      </c>
      <c r="C307" s="963"/>
    </row>
    <row r="308" spans="1:3" ht="83.25" hidden="1" customHeight="1" x14ac:dyDescent="0.2">
      <c r="A308" s="1404" t="str">
        <f>IF(B307="Yes","Answer Required","N/A")</f>
        <v>N/A</v>
      </c>
      <c r="B308" s="1443"/>
      <c r="C308" s="1444"/>
    </row>
    <row r="309" spans="1:3" ht="84" hidden="1" customHeight="1" x14ac:dyDescent="0.2">
      <c r="A309" s="1445" t="s">
        <v>1232</v>
      </c>
      <c r="B309" s="1499"/>
      <c r="C309" s="1500"/>
    </row>
    <row r="310" spans="1:3" ht="84" hidden="1" customHeight="1" x14ac:dyDescent="0.2">
      <c r="A310" s="1469" t="s">
        <v>897</v>
      </c>
      <c r="B310" s="1480"/>
      <c r="C310" s="1481"/>
    </row>
    <row r="311" spans="1:3" ht="84" hidden="1" customHeight="1" x14ac:dyDescent="0.2">
      <c r="A311" s="1418" t="s">
        <v>1229</v>
      </c>
      <c r="B311" s="1478"/>
      <c r="C311" s="1479"/>
    </row>
    <row r="312" spans="1:3" ht="125.25" hidden="1" customHeight="1" x14ac:dyDescent="0.2">
      <c r="A312" s="1469" t="s">
        <v>1097</v>
      </c>
      <c r="B312" s="1470"/>
      <c r="C312" s="1471"/>
    </row>
    <row r="313" spans="1:3" ht="63.75" hidden="1" customHeight="1" x14ac:dyDescent="0.2">
      <c r="A313" s="963" t="s">
        <v>143</v>
      </c>
      <c r="B313" s="875" t="s">
        <v>1038</v>
      </c>
      <c r="C313" s="963" t="s">
        <v>1098</v>
      </c>
    </row>
    <row r="314" spans="1:3" ht="33.75" hidden="1" customHeight="1" x14ac:dyDescent="0.2">
      <c r="A314" s="958" t="s">
        <v>506</v>
      </c>
      <c r="B314" s="873" t="str">
        <f>IF(B313="Yes","Answer Required","N/A")</f>
        <v>N/A</v>
      </c>
      <c r="C314" s="958" t="s">
        <v>1099</v>
      </c>
    </row>
    <row r="315" spans="1:3" ht="36.75" hidden="1" customHeight="1" x14ac:dyDescent="0.2">
      <c r="A315" s="958" t="s">
        <v>506</v>
      </c>
      <c r="B315" s="873" t="str">
        <f>IF(AND(B313="Yes",B314="Yes"),"Answer Required","N/A")</f>
        <v>N/A</v>
      </c>
      <c r="C315" s="958" t="s">
        <v>1100</v>
      </c>
    </row>
    <row r="316" spans="1:3" ht="51.75" hidden="1" customHeight="1" x14ac:dyDescent="0.2">
      <c r="A316" s="958" t="s">
        <v>506</v>
      </c>
      <c r="B316" s="873" t="str">
        <f>IF(B313="Yes","Answer Required","N/A")</f>
        <v>N/A</v>
      </c>
      <c r="C316" s="963" t="s">
        <v>1107</v>
      </c>
    </row>
    <row r="317" spans="1:3" ht="78" hidden="1" customHeight="1" x14ac:dyDescent="0.2">
      <c r="A317" s="958" t="s">
        <v>506</v>
      </c>
      <c r="B317" s="873" t="str">
        <f>IF(AND(B313="Yes",B314="Yes",B315="Yes",B316="Yes"),"Answer Required","N/A")</f>
        <v>N/A</v>
      </c>
      <c r="C317" s="681" t="s">
        <v>1254</v>
      </c>
    </row>
    <row r="318" spans="1:3" ht="51.75" hidden="1" customHeight="1" x14ac:dyDescent="0.2">
      <c r="A318" s="958" t="s">
        <v>506</v>
      </c>
      <c r="B318" s="873" t="str">
        <f>IF(B316="Yes","Answer Required","N/A")</f>
        <v>N/A</v>
      </c>
      <c r="C318" s="681" t="s">
        <v>1101</v>
      </c>
    </row>
    <row r="319" spans="1:3" ht="109.5" hidden="1" customHeight="1" x14ac:dyDescent="0.2">
      <c r="A319" s="1472" t="str">
        <f>IF(OR(B313="Yes",B316="Yes",B317="Yes",B317="No"),"Answer Required","N/A")</f>
        <v>N/A</v>
      </c>
      <c r="B319" s="1473"/>
      <c r="C319" s="1474"/>
    </row>
    <row r="320" spans="1:3" ht="62.25" hidden="1" customHeight="1" x14ac:dyDescent="0.2">
      <c r="A320" s="1445" t="s">
        <v>1230</v>
      </c>
      <c r="B320" s="1501"/>
      <c r="C320" s="1502"/>
    </row>
    <row r="321" spans="1:15" ht="87.75" hidden="1" customHeight="1" x14ac:dyDescent="0.2">
      <c r="A321" s="1469" t="s">
        <v>878</v>
      </c>
      <c r="B321" s="1470"/>
      <c r="C321" s="1471"/>
    </row>
    <row r="322" spans="1:15" ht="71.25" hidden="1" customHeight="1" x14ac:dyDescent="0.2">
      <c r="A322" s="958" t="s">
        <v>143</v>
      </c>
      <c r="B322" s="875" t="s">
        <v>1038</v>
      </c>
      <c r="C322" s="958" t="s">
        <v>1231</v>
      </c>
    </row>
    <row r="323" spans="1:15" ht="58.5" hidden="1" customHeight="1" x14ac:dyDescent="0.2">
      <c r="A323" s="958" t="s">
        <v>506</v>
      </c>
      <c r="B323" s="873" t="str">
        <f>IF(B322="Yes","Answer Required","N/A")</f>
        <v>N/A</v>
      </c>
      <c r="C323" s="958" t="s">
        <v>1255</v>
      </c>
    </row>
    <row r="324" spans="1:15" ht="50.25" hidden="1" customHeight="1" x14ac:dyDescent="0.2">
      <c r="A324" s="958" t="s">
        <v>506</v>
      </c>
      <c r="B324" s="873" t="str">
        <f>IF(B323="Yes","Answer Required","N/A")</f>
        <v>N/A</v>
      </c>
      <c r="C324" s="958" t="s">
        <v>1102</v>
      </c>
    </row>
    <row r="325" spans="1:15" ht="142.5" hidden="1" customHeight="1" x14ac:dyDescent="0.2">
      <c r="A325" s="1404" t="str">
        <f>IF(B322="Yes","Answer Required","N/A")</f>
        <v>N/A</v>
      </c>
      <c r="B325" s="1405"/>
      <c r="C325" s="1406"/>
    </row>
    <row r="326" spans="1:15" hidden="1" x14ac:dyDescent="0.2"/>
    <row r="327" spans="1:15" ht="47.25" customHeight="1" x14ac:dyDescent="0.2">
      <c r="A327" s="1429" t="s">
        <v>1623</v>
      </c>
      <c r="B327" s="1429"/>
      <c r="C327" s="1429"/>
    </row>
    <row r="328" spans="1:15" ht="18.75" customHeight="1" x14ac:dyDescent="0.2">
      <c r="A328" s="1425"/>
      <c r="B328" s="1425"/>
      <c r="C328" s="1425"/>
    </row>
    <row r="329" spans="1:15" ht="60.75" customHeight="1" x14ac:dyDescent="0.2">
      <c r="A329" s="1503" t="s">
        <v>1765</v>
      </c>
      <c r="B329" s="1503"/>
      <c r="C329" s="1503"/>
    </row>
    <row r="330" spans="1:15" x14ac:dyDescent="0.2">
      <c r="A330" s="650" t="s">
        <v>879</v>
      </c>
      <c r="B330" s="685" t="s">
        <v>1038</v>
      </c>
      <c r="C330" s="963"/>
    </row>
    <row r="331" spans="1:15" ht="24" x14ac:dyDescent="0.2">
      <c r="A331" s="850"/>
      <c r="B331" s="735" t="s">
        <v>1003</v>
      </c>
      <c r="C331" s="735" t="s">
        <v>880</v>
      </c>
      <c r="N331" s="693" t="s">
        <v>566</v>
      </c>
    </row>
    <row r="332" spans="1:15" ht="69" customHeight="1" x14ac:dyDescent="0.2">
      <c r="A332" s="851"/>
      <c r="B332" s="320"/>
      <c r="C332" s="958" t="s">
        <v>1342</v>
      </c>
      <c r="N332" s="644" t="s">
        <v>948</v>
      </c>
      <c r="O332" s="718" t="s">
        <v>803</v>
      </c>
    </row>
    <row r="333" spans="1:15" ht="52.5" customHeight="1" x14ac:dyDescent="0.2">
      <c r="A333" s="851"/>
      <c r="B333" s="320"/>
      <c r="C333" s="958" t="s">
        <v>1343</v>
      </c>
      <c r="N333" s="445">
        <f>'TAB 5, LT Liabilities'!M28</f>
        <v>0</v>
      </c>
      <c r="O333" s="445">
        <f>B333-N333</f>
        <v>0</v>
      </c>
    </row>
    <row r="334" spans="1:15" ht="81.75" customHeight="1" x14ac:dyDescent="0.2">
      <c r="A334" s="851"/>
      <c r="B334" s="320"/>
      <c r="C334" s="958" t="s">
        <v>1537</v>
      </c>
      <c r="O334" s="726" t="str">
        <f>IF(O333&lt;&gt;0,"Error - see Note A","  ")</f>
        <v xml:space="preserve">  </v>
      </c>
    </row>
    <row r="335" spans="1:15" ht="59.25" customHeight="1" x14ac:dyDescent="0.2">
      <c r="A335" s="851"/>
      <c r="B335" s="320"/>
      <c r="C335" s="958" t="s">
        <v>1344</v>
      </c>
    </row>
    <row r="336" spans="1:15" ht="55.5" customHeight="1" x14ac:dyDescent="0.2">
      <c r="A336" s="851"/>
      <c r="B336" s="320"/>
      <c r="C336" s="958" t="s">
        <v>1345</v>
      </c>
    </row>
    <row r="337" spans="1:3" ht="50.25" customHeight="1" x14ac:dyDescent="0.2">
      <c r="A337" s="851"/>
      <c r="B337" s="320"/>
      <c r="C337" s="958" t="s">
        <v>1536</v>
      </c>
    </row>
    <row r="338" spans="1:3" ht="38.25" customHeight="1" x14ac:dyDescent="0.2">
      <c r="A338" s="851"/>
      <c r="B338" s="320"/>
      <c r="C338" s="958" t="s">
        <v>1346</v>
      </c>
    </row>
    <row r="339" spans="1:3" ht="38.25" customHeight="1" x14ac:dyDescent="0.2">
      <c r="A339" s="851"/>
      <c r="B339" s="320"/>
      <c r="C339" s="958" t="s">
        <v>1347</v>
      </c>
    </row>
    <row r="340" spans="1:3" ht="38.25" customHeight="1" x14ac:dyDescent="0.2">
      <c r="A340" s="851"/>
      <c r="B340" s="320"/>
      <c r="C340" s="958" t="s">
        <v>1348</v>
      </c>
    </row>
    <row r="341" spans="1:3" ht="38.25" customHeight="1" x14ac:dyDescent="0.2">
      <c r="A341" s="851"/>
      <c r="B341" s="320"/>
      <c r="C341" s="958" t="s">
        <v>1349</v>
      </c>
    </row>
    <row r="342" spans="1:3" ht="38.25" customHeight="1" x14ac:dyDescent="0.2">
      <c r="A342" s="851"/>
      <c r="B342" s="320"/>
      <c r="C342" s="958" t="s">
        <v>1350</v>
      </c>
    </row>
    <row r="343" spans="1:3" ht="38.25" customHeight="1" x14ac:dyDescent="0.2">
      <c r="A343" s="851"/>
      <c r="B343" s="320"/>
      <c r="C343" s="958" t="s">
        <v>1354</v>
      </c>
    </row>
    <row r="344" spans="1:3" ht="38.25" customHeight="1" x14ac:dyDescent="0.2">
      <c r="A344" s="851"/>
      <c r="B344" s="320"/>
      <c r="C344" s="958" t="s">
        <v>1351</v>
      </c>
    </row>
    <row r="345" spans="1:3" ht="38.25" customHeight="1" x14ac:dyDescent="0.2">
      <c r="A345" s="851"/>
      <c r="B345" s="320"/>
      <c r="C345" s="958" t="s">
        <v>1352</v>
      </c>
    </row>
    <row r="346" spans="1:3" ht="38.25" hidden="1" customHeight="1" x14ac:dyDescent="0.2">
      <c r="A346" s="851"/>
      <c r="B346" s="874"/>
      <c r="C346" s="958"/>
    </row>
    <row r="347" spans="1:3" ht="38.25" hidden="1" customHeight="1" x14ac:dyDescent="0.2">
      <c r="A347" s="851"/>
      <c r="B347" s="874"/>
      <c r="C347" s="958"/>
    </row>
    <row r="348" spans="1:3" ht="38.25" hidden="1" customHeight="1" x14ac:dyDescent="0.2">
      <c r="A348" s="851"/>
      <c r="B348" s="874"/>
      <c r="C348" s="958"/>
    </row>
    <row r="349" spans="1:3" ht="38.25" hidden="1" customHeight="1" x14ac:dyDescent="0.2">
      <c r="A349" s="851"/>
      <c r="B349" s="874"/>
      <c r="C349" s="958"/>
    </row>
    <row r="350" spans="1:3" ht="38.25" customHeight="1" x14ac:dyDescent="0.2">
      <c r="A350" s="851"/>
      <c r="B350" s="320"/>
      <c r="C350" s="958" t="s">
        <v>1353</v>
      </c>
    </row>
    <row r="351" spans="1:3" ht="38.25" customHeight="1" x14ac:dyDescent="0.2">
      <c r="A351" s="851"/>
      <c r="B351" s="320"/>
      <c r="C351" s="958" t="s">
        <v>1355</v>
      </c>
    </row>
    <row r="352" spans="1:3" ht="38.25" customHeight="1" x14ac:dyDescent="0.2">
      <c r="A352" s="851"/>
      <c r="B352" s="320"/>
      <c r="C352" s="1024" t="s">
        <v>1709</v>
      </c>
    </row>
    <row r="353" spans="1:15" ht="60.75" customHeight="1" x14ac:dyDescent="0.2">
      <c r="A353" s="851"/>
      <c r="B353" s="320"/>
      <c r="C353" s="1024" t="s">
        <v>1845</v>
      </c>
    </row>
    <row r="354" spans="1:15" ht="12.75" thickBot="1" x14ac:dyDescent="0.25">
      <c r="A354" s="721" t="s">
        <v>373</v>
      </c>
      <c r="B354" s="682">
        <f>SUM(B332:B353)</f>
        <v>0</v>
      </c>
      <c r="C354" s="962"/>
    </row>
    <row r="355" spans="1:15" ht="12.75" thickTop="1" x14ac:dyDescent="0.2">
      <c r="A355" s="852" t="s">
        <v>1000</v>
      </c>
      <c r="B355" s="722">
        <f>FST!J119</f>
        <v>0</v>
      </c>
      <c r="C355" s="962"/>
    </row>
    <row r="356" spans="1:15" ht="36.75" customHeight="1" x14ac:dyDescent="0.2">
      <c r="A356" s="951" t="s">
        <v>881</v>
      </c>
      <c r="B356" s="735" t="str">
        <f>IF(B354=B355,"yes","no-error")</f>
        <v>yes</v>
      </c>
      <c r="C356" s="723" t="s">
        <v>1001</v>
      </c>
    </row>
    <row r="357" spans="1:15" ht="60.75" customHeight="1" x14ac:dyDescent="0.2">
      <c r="A357" s="1390" t="s">
        <v>1766</v>
      </c>
      <c r="B357" s="1391"/>
      <c r="C357" s="1392"/>
    </row>
    <row r="358" spans="1:15" x14ac:dyDescent="0.2">
      <c r="A358" s="724" t="s">
        <v>879</v>
      </c>
      <c r="B358" s="685" t="s">
        <v>1038</v>
      </c>
      <c r="C358" s="758"/>
    </row>
    <row r="359" spans="1:15" ht="24" x14ac:dyDescent="0.2">
      <c r="A359" s="724"/>
      <c r="B359" s="719" t="s">
        <v>1003</v>
      </c>
      <c r="C359" s="735" t="s">
        <v>882</v>
      </c>
    </row>
    <row r="360" spans="1:15" ht="50.25" customHeight="1" x14ac:dyDescent="0.2">
      <c r="A360" s="737"/>
      <c r="B360" s="720"/>
      <c r="C360" s="958" t="s">
        <v>1356</v>
      </c>
    </row>
    <row r="361" spans="1:15" ht="79.5" hidden="1" customHeight="1" x14ac:dyDescent="0.2">
      <c r="A361" s="737"/>
      <c r="B361" s="737"/>
      <c r="C361" s="1101" t="s">
        <v>1624</v>
      </c>
      <c r="N361" s="693" t="s">
        <v>566</v>
      </c>
    </row>
    <row r="362" spans="1:15" ht="69.75" hidden="1" customHeight="1" x14ac:dyDescent="0.2">
      <c r="A362" s="737"/>
      <c r="B362" s="737"/>
      <c r="C362" s="1101" t="s">
        <v>1625</v>
      </c>
      <c r="N362" s="644" t="s">
        <v>949</v>
      </c>
      <c r="O362" s="718" t="s">
        <v>803</v>
      </c>
    </row>
    <row r="363" spans="1:15" ht="75.75" customHeight="1" x14ac:dyDescent="0.2">
      <c r="A363" s="737"/>
      <c r="B363" s="720"/>
      <c r="C363" s="958" t="s">
        <v>1626</v>
      </c>
      <c r="N363" s="445">
        <f>'TAB 5, LT Liabilities'!N28</f>
        <v>0</v>
      </c>
      <c r="O363" s="445">
        <f>B363-N363</f>
        <v>0</v>
      </c>
    </row>
    <row r="364" spans="1:15" ht="81.75" customHeight="1" x14ac:dyDescent="0.2">
      <c r="A364" s="737"/>
      <c r="B364" s="720"/>
      <c r="C364" s="958" t="s">
        <v>1627</v>
      </c>
      <c r="O364" s="726" t="str">
        <f>IF(O363&lt;&gt;0,"Error - see Note A","  ")</f>
        <v xml:space="preserve">  </v>
      </c>
    </row>
    <row r="365" spans="1:15" ht="63.75" customHeight="1" x14ac:dyDescent="0.2">
      <c r="A365" s="737"/>
      <c r="B365" s="720"/>
      <c r="C365" s="958" t="s">
        <v>1628</v>
      </c>
    </row>
    <row r="366" spans="1:15" ht="72.75" customHeight="1" x14ac:dyDescent="0.2">
      <c r="A366" s="737"/>
      <c r="B366" s="720"/>
      <c r="C366" s="958" t="s">
        <v>1629</v>
      </c>
    </row>
    <row r="367" spans="1:15" ht="69.75" customHeight="1" x14ac:dyDescent="0.2">
      <c r="A367" s="737"/>
      <c r="B367" s="720"/>
      <c r="C367" s="958" t="s">
        <v>1630</v>
      </c>
    </row>
    <row r="368" spans="1:15" ht="57.75" customHeight="1" x14ac:dyDescent="0.2">
      <c r="A368" s="737"/>
      <c r="B368" s="720"/>
      <c r="C368" s="958" t="s">
        <v>1631</v>
      </c>
    </row>
    <row r="369" spans="1:3" ht="41.25" customHeight="1" x14ac:dyDescent="0.2">
      <c r="A369" s="737"/>
      <c r="B369" s="720"/>
      <c r="C369" s="958" t="s">
        <v>1632</v>
      </c>
    </row>
    <row r="370" spans="1:3" ht="44.25" customHeight="1" x14ac:dyDescent="0.2">
      <c r="A370" s="737"/>
      <c r="B370" s="720"/>
      <c r="C370" s="958" t="s">
        <v>1633</v>
      </c>
    </row>
    <row r="371" spans="1:3" ht="36" customHeight="1" x14ac:dyDescent="0.2">
      <c r="A371" s="737"/>
      <c r="B371" s="720"/>
      <c r="C371" s="958" t="s">
        <v>1634</v>
      </c>
    </row>
    <row r="372" spans="1:3" ht="57.75" customHeight="1" x14ac:dyDescent="0.2">
      <c r="A372" s="737"/>
      <c r="B372" s="720"/>
      <c r="C372" s="958" t="s">
        <v>1635</v>
      </c>
    </row>
    <row r="373" spans="1:3" ht="24" customHeight="1" x14ac:dyDescent="0.2">
      <c r="A373" s="737"/>
      <c r="B373" s="720"/>
      <c r="C373" s="958" t="s">
        <v>1636</v>
      </c>
    </row>
    <row r="374" spans="1:3" ht="38.25" customHeight="1" x14ac:dyDescent="0.2">
      <c r="A374" s="737"/>
      <c r="B374" s="720"/>
      <c r="C374" s="958" t="s">
        <v>1637</v>
      </c>
    </row>
    <row r="375" spans="1:3" ht="38.25" customHeight="1" x14ac:dyDescent="0.2">
      <c r="A375" s="737"/>
      <c r="B375" s="720"/>
      <c r="C375" s="958" t="s">
        <v>1638</v>
      </c>
    </row>
    <row r="376" spans="1:3" ht="38.25" customHeight="1" x14ac:dyDescent="0.2">
      <c r="A376" s="737"/>
      <c r="B376" s="720"/>
      <c r="C376" s="958" t="s">
        <v>1639</v>
      </c>
    </row>
    <row r="377" spans="1:3" ht="38.25" customHeight="1" x14ac:dyDescent="0.2">
      <c r="A377" s="737"/>
      <c r="B377" s="720"/>
      <c r="C377" s="958" t="s">
        <v>1640</v>
      </c>
    </row>
    <row r="378" spans="1:3" ht="38.25" customHeight="1" x14ac:dyDescent="0.2">
      <c r="A378" s="737"/>
      <c r="B378" s="720"/>
      <c r="C378" s="958" t="s">
        <v>1641</v>
      </c>
    </row>
    <row r="379" spans="1:3" ht="38.25" hidden="1" customHeight="1" x14ac:dyDescent="0.2">
      <c r="A379" s="737"/>
      <c r="B379" s="885"/>
      <c r="C379" s="958"/>
    </row>
    <row r="380" spans="1:3" ht="38.25" hidden="1" customHeight="1" x14ac:dyDescent="0.2">
      <c r="A380" s="737"/>
      <c r="B380" s="885"/>
      <c r="C380" s="958"/>
    </row>
    <row r="381" spans="1:3" ht="38.25" hidden="1" customHeight="1" x14ac:dyDescent="0.2">
      <c r="A381" s="737"/>
      <c r="B381" s="885"/>
      <c r="C381" s="958"/>
    </row>
    <row r="382" spans="1:3" ht="38.25" hidden="1" customHeight="1" x14ac:dyDescent="0.2">
      <c r="A382" s="737"/>
      <c r="B382" s="885"/>
      <c r="C382" s="958"/>
    </row>
    <row r="383" spans="1:3" ht="38.25" customHeight="1" x14ac:dyDescent="0.2">
      <c r="A383" s="1059"/>
      <c r="B383" s="320"/>
      <c r="C383" s="854" t="s">
        <v>1642</v>
      </c>
    </row>
    <row r="384" spans="1:3" ht="38.25" customHeight="1" x14ac:dyDescent="0.2">
      <c r="A384" s="1059"/>
      <c r="B384" s="320"/>
      <c r="C384" s="1024" t="s">
        <v>1708</v>
      </c>
    </row>
    <row r="385" spans="1:3" ht="53.25" customHeight="1" x14ac:dyDescent="0.2">
      <c r="A385" s="1059"/>
      <c r="B385" s="320"/>
      <c r="C385" s="1024" t="s">
        <v>1677</v>
      </c>
    </row>
    <row r="386" spans="1:3" ht="51" customHeight="1" x14ac:dyDescent="0.2">
      <c r="A386" s="1059"/>
      <c r="B386" s="320"/>
      <c r="C386" s="1024" t="s">
        <v>1681</v>
      </c>
    </row>
    <row r="387" spans="1:3" ht="12.75" thickBot="1" x14ac:dyDescent="0.25">
      <c r="A387" s="721" t="s">
        <v>373</v>
      </c>
      <c r="B387" s="682">
        <f>SUM(B360:B386)</f>
        <v>0</v>
      </c>
      <c r="C387" s="962"/>
    </row>
    <row r="388" spans="1:3" ht="12.75" thickTop="1" x14ac:dyDescent="0.2">
      <c r="A388" s="721" t="s">
        <v>1000</v>
      </c>
      <c r="B388" s="725">
        <f>FST!J192</f>
        <v>0</v>
      </c>
      <c r="C388" s="962"/>
    </row>
    <row r="389" spans="1:3" ht="36.75" customHeight="1" x14ac:dyDescent="0.2">
      <c r="A389" s="708" t="s">
        <v>883</v>
      </c>
      <c r="B389" s="708" t="str">
        <f>IF(B387=B388,"yes", "no-error")</f>
        <v>yes</v>
      </c>
      <c r="C389" s="723" t="s">
        <v>1002</v>
      </c>
    </row>
    <row r="390" spans="1:3" ht="75" customHeight="1" x14ac:dyDescent="0.2">
      <c r="A390" s="1390" t="s">
        <v>1767</v>
      </c>
      <c r="B390" s="1391"/>
      <c r="C390" s="1392"/>
    </row>
    <row r="391" spans="1:3" ht="56.25" customHeight="1" x14ac:dyDescent="0.2">
      <c r="A391" s="957" t="s">
        <v>506</v>
      </c>
      <c r="B391" s="311" t="str">
        <f>IF(OR(B330="Yes",B358="Yes"),"Answer Required","N/A")</f>
        <v>N/A</v>
      </c>
      <c r="C391" s="727" t="str">
        <f>IF(AND((B354+B387)&gt;0,(B391="N/A")),"Since there are amounts reported in Parts 16a and/or 16b, a Yes or No answer is required in Part 16c.","  ")</f>
        <v xml:space="preserve">  </v>
      </c>
    </row>
    <row r="392" spans="1:3" x14ac:dyDescent="0.2">
      <c r="A392" s="1390" t="s">
        <v>811</v>
      </c>
      <c r="B392" s="1411"/>
      <c r="C392" s="1412"/>
    </row>
    <row r="393" spans="1:3" ht="93" customHeight="1" x14ac:dyDescent="0.2">
      <c r="A393" s="1399" t="str">
        <f>IF(B391="Yes","Answer Required","N/A")</f>
        <v>N/A</v>
      </c>
      <c r="B393" s="1400"/>
      <c r="C393" s="1401"/>
    </row>
    <row r="395" spans="1:3" hidden="1" x14ac:dyDescent="0.2">
      <c r="A395" s="1429" t="s">
        <v>1103</v>
      </c>
      <c r="B395" s="1429"/>
      <c r="C395" s="1429"/>
    </row>
    <row r="396" spans="1:3" ht="172.5" hidden="1" customHeight="1" x14ac:dyDescent="0.2">
      <c r="A396" s="1430" t="s">
        <v>1104</v>
      </c>
      <c r="B396" s="1431"/>
      <c r="C396" s="1432"/>
    </row>
    <row r="397" spans="1:3" ht="55.5" hidden="1" customHeight="1" x14ac:dyDescent="0.2">
      <c r="A397" s="1390" t="s">
        <v>1109</v>
      </c>
      <c r="B397" s="1391"/>
      <c r="C397" s="1392"/>
    </row>
    <row r="398" spans="1:3" hidden="1" x14ac:dyDescent="0.2">
      <c r="A398" s="730" t="s">
        <v>143</v>
      </c>
      <c r="B398" s="875" t="s">
        <v>1038</v>
      </c>
      <c r="C398" s="758" t="s">
        <v>899</v>
      </c>
    </row>
    <row r="399" spans="1:3" ht="24" hidden="1" x14ac:dyDescent="0.2">
      <c r="A399" s="731"/>
      <c r="B399" s="729" t="s">
        <v>1003</v>
      </c>
      <c r="C399" s="758"/>
    </row>
    <row r="400" spans="1:3" ht="50.25" hidden="1" customHeight="1" x14ac:dyDescent="0.2">
      <c r="A400" s="732"/>
      <c r="B400" s="885"/>
      <c r="C400" s="958" t="s">
        <v>900</v>
      </c>
    </row>
    <row r="401" spans="1:3" ht="48.75" hidden="1" customHeight="1" x14ac:dyDescent="0.2">
      <c r="A401" s="732"/>
      <c r="B401" s="885"/>
      <c r="C401" s="958" t="s">
        <v>901</v>
      </c>
    </row>
    <row r="402" spans="1:3" ht="181.5" hidden="1" customHeight="1" x14ac:dyDescent="0.2">
      <c r="A402" s="732"/>
      <c r="B402" s="885"/>
      <c r="C402" s="958" t="s">
        <v>902</v>
      </c>
    </row>
    <row r="403" spans="1:3" ht="42" hidden="1" customHeight="1" x14ac:dyDescent="0.2">
      <c r="A403" s="732"/>
      <c r="B403" s="885"/>
      <c r="C403" s="958" t="s">
        <v>903</v>
      </c>
    </row>
    <row r="404" spans="1:3" ht="43.5" hidden="1" customHeight="1" x14ac:dyDescent="0.2">
      <c r="A404" s="732"/>
      <c r="B404" s="885"/>
      <c r="C404" s="958" t="s">
        <v>904</v>
      </c>
    </row>
    <row r="405" spans="1:3" ht="72" hidden="1" x14ac:dyDescent="0.2">
      <c r="A405" s="733"/>
      <c r="B405" s="885"/>
      <c r="C405" s="958" t="s">
        <v>905</v>
      </c>
    </row>
    <row r="406" spans="1:3" ht="13.5" hidden="1" thickBot="1" x14ac:dyDescent="0.25">
      <c r="A406" s="721" t="s">
        <v>1108</v>
      </c>
      <c r="B406" s="682">
        <f>SUM(B400:B405)</f>
        <v>0</v>
      </c>
      <c r="C406" s="702"/>
    </row>
    <row r="407" spans="1:3" ht="12.75" hidden="1" x14ac:dyDescent="0.2">
      <c r="A407" s="701"/>
      <c r="B407"/>
      <c r="C407" s="703"/>
    </row>
    <row r="408" spans="1:3" ht="59.25" hidden="1" customHeight="1" x14ac:dyDescent="0.2">
      <c r="A408" s="1390" t="s">
        <v>1110</v>
      </c>
      <c r="B408" s="1391"/>
      <c r="C408" s="1392"/>
    </row>
    <row r="409" spans="1:3" hidden="1" x14ac:dyDescent="0.2">
      <c r="A409" s="728" t="s">
        <v>143</v>
      </c>
      <c r="B409" s="875" t="s">
        <v>1038</v>
      </c>
      <c r="C409" s="758" t="s">
        <v>906</v>
      </c>
    </row>
    <row r="410" spans="1:3" ht="24" hidden="1" x14ac:dyDescent="0.2">
      <c r="A410" s="731"/>
      <c r="B410" s="728" t="s">
        <v>1003</v>
      </c>
      <c r="C410" s="758"/>
    </row>
    <row r="411" spans="1:3" ht="39" hidden="1" customHeight="1" x14ac:dyDescent="0.2">
      <c r="A411" s="732"/>
      <c r="B411" s="874"/>
      <c r="C411" s="958" t="s">
        <v>907</v>
      </c>
    </row>
    <row r="412" spans="1:3" ht="93" hidden="1" customHeight="1" x14ac:dyDescent="0.2">
      <c r="A412" s="732"/>
      <c r="B412" s="874"/>
      <c r="C412" s="690" t="s">
        <v>920</v>
      </c>
    </row>
    <row r="413" spans="1:3" ht="45.75" hidden="1" customHeight="1" x14ac:dyDescent="0.2">
      <c r="A413" s="732"/>
      <c r="B413" s="874"/>
      <c r="C413" s="690" t="s">
        <v>908</v>
      </c>
    </row>
    <row r="414" spans="1:3" ht="49.5" hidden="1" customHeight="1" x14ac:dyDescent="0.2">
      <c r="A414" s="733"/>
      <c r="B414" s="874"/>
      <c r="C414" s="958" t="s">
        <v>921</v>
      </c>
    </row>
    <row r="415" spans="1:3" ht="13.5" hidden="1" thickBot="1" x14ac:dyDescent="0.25">
      <c r="A415" s="721" t="s">
        <v>1108</v>
      </c>
      <c r="B415" s="682">
        <f>SUM(B411:B414)</f>
        <v>0</v>
      </c>
      <c r="C415" s="702"/>
    </row>
    <row r="416" spans="1:3" hidden="1" x14ac:dyDescent="0.2">
      <c r="A416" s="704"/>
      <c r="B416" s="832"/>
      <c r="C416" s="681"/>
    </row>
    <row r="417" spans="1:3" ht="89.25" hidden="1" customHeight="1" x14ac:dyDescent="0.2">
      <c r="A417" s="1390" t="s">
        <v>1105</v>
      </c>
      <c r="B417" s="1391"/>
      <c r="C417" s="1392"/>
    </row>
    <row r="418" spans="1:3" ht="97.5" hidden="1" customHeight="1" x14ac:dyDescent="0.2">
      <c r="A418" s="958" t="s">
        <v>506</v>
      </c>
      <c r="B418" s="873" t="str">
        <f>IF(OR(B330="Yes",B358="Yes",B398="Yes",B409="Yes"),"Answer Required","N/A")</f>
        <v>N/A</v>
      </c>
      <c r="C418" s="734" t="str">
        <f>IF(AND(SUM(B333:B339,B363:B372,B406,B415)&gt;0,(B418="N/A")),"Since there are amounts reported in Part 22a items 2-8, Part 22b items 4-13, Part 23a, and/or Part 23b, a Yes or No answer is required for Part 23c.","  ")</f>
        <v xml:space="preserve">  </v>
      </c>
    </row>
    <row r="419" spans="1:3" hidden="1" x14ac:dyDescent="0.2">
      <c r="A419" s="1390" t="s">
        <v>909</v>
      </c>
      <c r="B419" s="1411"/>
      <c r="C419" s="1412"/>
    </row>
    <row r="420" spans="1:3" ht="87" hidden="1" customHeight="1" x14ac:dyDescent="0.2">
      <c r="A420" s="1404" t="str">
        <f>IF(B418="No","Answer Required","N/A")</f>
        <v>N/A</v>
      </c>
      <c r="B420" s="1405"/>
      <c r="C420" s="1406"/>
    </row>
    <row r="421" spans="1:3" hidden="1" x14ac:dyDescent="0.2"/>
    <row r="422" spans="1:3" ht="62.25" customHeight="1" x14ac:dyDescent="0.2">
      <c r="A422" s="1429" t="s">
        <v>1710</v>
      </c>
      <c r="B422" s="1429"/>
      <c r="C422" s="1429"/>
    </row>
    <row r="423" spans="1:3" ht="224.25" hidden="1" customHeight="1" x14ac:dyDescent="0.2">
      <c r="A423" s="1424" t="s">
        <v>986</v>
      </c>
      <c r="B423" s="1425"/>
      <c r="C423" s="1425"/>
    </row>
    <row r="424" spans="1:3" ht="99.75" customHeight="1" x14ac:dyDescent="0.2">
      <c r="A424" s="1390" t="s">
        <v>1643</v>
      </c>
      <c r="B424" s="1391"/>
      <c r="C424" s="1392"/>
    </row>
    <row r="425" spans="1:3" x14ac:dyDescent="0.2">
      <c r="A425" s="958" t="s">
        <v>910</v>
      </c>
      <c r="B425" s="685" t="s">
        <v>1038</v>
      </c>
      <c r="C425" s="691"/>
    </row>
    <row r="426" spans="1:3" ht="86.25" customHeight="1" x14ac:dyDescent="0.2">
      <c r="A426" s="1390" t="s">
        <v>1768</v>
      </c>
      <c r="B426" s="1411"/>
      <c r="C426" s="1412"/>
    </row>
    <row r="427" spans="1:3" ht="99.75" customHeight="1" x14ac:dyDescent="0.2">
      <c r="A427" s="1399" t="str">
        <f>IF(B425="Yes","Answer Required","N/A")</f>
        <v>N/A</v>
      </c>
      <c r="B427" s="1400"/>
      <c r="C427" s="1401"/>
    </row>
    <row r="428" spans="1:3" ht="12.75" x14ac:dyDescent="0.2">
      <c r="A428"/>
      <c r="B428"/>
      <c r="C428"/>
    </row>
    <row r="429" spans="1:3" ht="97.5" customHeight="1" x14ac:dyDescent="0.2">
      <c r="A429" s="1390" t="s">
        <v>1769</v>
      </c>
      <c r="B429" s="1391"/>
      <c r="C429" s="1392"/>
    </row>
    <row r="430" spans="1:3" x14ac:dyDescent="0.2">
      <c r="A430" s="958" t="s">
        <v>506</v>
      </c>
      <c r="B430" s="311" t="str">
        <f>IF(B425="Yes","Answer Required","N/A")</f>
        <v>N/A</v>
      </c>
      <c r="C430" s="691"/>
    </row>
    <row r="431" spans="1:3" ht="117.75" customHeight="1" x14ac:dyDescent="0.2">
      <c r="A431" s="1390" t="s">
        <v>1818</v>
      </c>
      <c r="B431" s="1411"/>
      <c r="C431" s="1412"/>
    </row>
    <row r="432" spans="1:3" ht="108.75" customHeight="1" x14ac:dyDescent="0.2">
      <c r="A432" s="1399" t="str">
        <f>IF(B430="Yes","Answer Required","N/A")</f>
        <v>N/A</v>
      </c>
      <c r="B432" s="1400"/>
      <c r="C432" s="1401"/>
    </row>
    <row r="433" spans="1:3" ht="102.75" customHeight="1" x14ac:dyDescent="0.2">
      <c r="A433" s="1390" t="s">
        <v>1644</v>
      </c>
      <c r="B433" s="1391"/>
      <c r="C433" s="1392"/>
    </row>
    <row r="434" spans="1:3" x14ac:dyDescent="0.2">
      <c r="A434" s="958" t="s">
        <v>879</v>
      </c>
      <c r="B434" s="685" t="s">
        <v>1038</v>
      </c>
      <c r="C434" s="691"/>
    </row>
    <row r="435" spans="1:3" ht="55.5" customHeight="1" x14ac:dyDescent="0.2">
      <c r="A435" s="1390" t="s">
        <v>1770</v>
      </c>
      <c r="B435" s="1411"/>
      <c r="C435" s="1412"/>
    </row>
    <row r="436" spans="1:3" ht="86.25" customHeight="1" x14ac:dyDescent="0.2">
      <c r="A436" s="1399" t="str">
        <f>IF(B434="Yes","Answer Required","N/A")</f>
        <v>N/A</v>
      </c>
      <c r="B436" s="1400"/>
      <c r="C436" s="1401"/>
    </row>
    <row r="437" spans="1:3" ht="12.75" x14ac:dyDescent="0.2">
      <c r="A437"/>
      <c r="B437"/>
      <c r="C437"/>
    </row>
    <row r="438" spans="1:3" ht="99.75" customHeight="1" x14ac:dyDescent="0.2">
      <c r="A438" s="1390" t="s">
        <v>1771</v>
      </c>
      <c r="B438" s="1391"/>
      <c r="C438" s="1392"/>
    </row>
    <row r="439" spans="1:3" x14ac:dyDescent="0.2">
      <c r="A439" s="958" t="s">
        <v>506</v>
      </c>
      <c r="B439" s="311" t="str">
        <f>IF(B434="Yes","Answer Required","N/A")</f>
        <v>N/A</v>
      </c>
      <c r="C439" s="691"/>
    </row>
    <row r="440" spans="1:3" ht="87" customHeight="1" x14ac:dyDescent="0.2">
      <c r="A440" s="1390" t="s">
        <v>1772</v>
      </c>
      <c r="B440" s="1411"/>
      <c r="C440" s="1412"/>
    </row>
    <row r="441" spans="1:3" ht="100.5" customHeight="1" x14ac:dyDescent="0.2">
      <c r="A441" s="1399" t="str">
        <f>IF(B439="Yes","Answer Required","N/A")</f>
        <v>N/A</v>
      </c>
      <c r="B441" s="1400"/>
      <c r="C441" s="1401"/>
    </row>
    <row r="444" spans="1:3" hidden="1" x14ac:dyDescent="0.2">
      <c r="A444" s="1429" t="s">
        <v>1233</v>
      </c>
      <c r="B444" s="1429"/>
      <c r="C444" s="1429"/>
    </row>
    <row r="445" spans="1:3" ht="203.25" hidden="1" customHeight="1" x14ac:dyDescent="0.2">
      <c r="A445" s="1424" t="s">
        <v>1005</v>
      </c>
      <c r="B445" s="1425"/>
      <c r="C445" s="1425"/>
    </row>
    <row r="446" spans="1:3" ht="58.5" hidden="1" customHeight="1" x14ac:dyDescent="0.2">
      <c r="A446" s="1390" t="s">
        <v>1234</v>
      </c>
      <c r="B446" s="1391"/>
      <c r="C446" s="1392"/>
    </row>
    <row r="447" spans="1:3" ht="65.25" hidden="1" customHeight="1" x14ac:dyDescent="0.2">
      <c r="A447" s="958" t="s">
        <v>910</v>
      </c>
      <c r="B447" s="875" t="s">
        <v>1038</v>
      </c>
      <c r="C447" s="690" t="s">
        <v>1235</v>
      </c>
    </row>
    <row r="448" spans="1:3" ht="63.75" hidden="1" customHeight="1" x14ac:dyDescent="0.2">
      <c r="A448" s="958" t="s">
        <v>910</v>
      </c>
      <c r="B448" s="875" t="s">
        <v>1038</v>
      </c>
      <c r="C448" s="690" t="s">
        <v>1236</v>
      </c>
    </row>
    <row r="449" spans="1:3" ht="66" hidden="1" customHeight="1" x14ac:dyDescent="0.2">
      <c r="A449" s="958" t="s">
        <v>910</v>
      </c>
      <c r="B449" s="875" t="s">
        <v>1038</v>
      </c>
      <c r="C449" s="690" t="s">
        <v>1237</v>
      </c>
    </row>
    <row r="450" spans="1:3" ht="70.5" hidden="1" customHeight="1" x14ac:dyDescent="0.2">
      <c r="A450" s="958" t="s">
        <v>910</v>
      </c>
      <c r="B450" s="875" t="s">
        <v>1038</v>
      </c>
      <c r="C450" s="710" t="s">
        <v>1256</v>
      </c>
    </row>
    <row r="451" spans="1:3" ht="69" hidden="1" customHeight="1" x14ac:dyDescent="0.2">
      <c r="A451" s="1390" t="s">
        <v>1238</v>
      </c>
      <c r="B451" s="1411"/>
      <c r="C451" s="1412"/>
    </row>
    <row r="452" spans="1:3" ht="90" hidden="1" customHeight="1" x14ac:dyDescent="0.2">
      <c r="A452" s="1404" t="str">
        <f>IF(OR(B447="Yes",B448="Yes",B449="Yes",B450="Yes"),"Answer Required","N/A")</f>
        <v>N/A</v>
      </c>
      <c r="B452" s="1405"/>
      <c r="C452" s="1406"/>
    </row>
    <row r="453" spans="1:3" ht="50.25" hidden="1" customHeight="1" x14ac:dyDescent="0.2">
      <c r="A453" s="1390" t="s">
        <v>1106</v>
      </c>
      <c r="B453" s="1391"/>
      <c r="C453" s="1392"/>
    </row>
    <row r="454" spans="1:3" hidden="1" x14ac:dyDescent="0.2">
      <c r="A454" s="958" t="s">
        <v>506</v>
      </c>
      <c r="B454" s="873" t="str">
        <f>IF(OR(B447="Yes",B448="Yes",B449="Yes",B450="Yes"),"Answer Required","N/A")</f>
        <v>N/A</v>
      </c>
      <c r="C454" s="691"/>
    </row>
    <row r="455" spans="1:3" hidden="1" x14ac:dyDescent="0.2">
      <c r="A455" s="1390" t="s">
        <v>960</v>
      </c>
      <c r="B455" s="1411"/>
      <c r="C455" s="1412"/>
    </row>
    <row r="456" spans="1:3" ht="122.25" hidden="1" customHeight="1" x14ac:dyDescent="0.2">
      <c r="A456" s="1404" t="str">
        <f>IF(OR(B447="Yes",B448="Yes",B449="Yes",B450="Yes"),"Answer Required","N/A")</f>
        <v>N/A</v>
      </c>
      <c r="B456" s="1405"/>
      <c r="C456" s="1406"/>
    </row>
    <row r="457" spans="1:3" ht="27.75" customHeight="1" x14ac:dyDescent="0.25">
      <c r="A457" s="738" t="s">
        <v>1645</v>
      </c>
      <c r="B457" s="717"/>
      <c r="C457" s="717"/>
    </row>
    <row r="458" spans="1:3" ht="18.75" customHeight="1" x14ac:dyDescent="0.2">
      <c r="A458" s="1390"/>
      <c r="B458" s="1391"/>
      <c r="C458" s="1392"/>
    </row>
    <row r="459" spans="1:3" ht="49.5" customHeight="1" x14ac:dyDescent="0.2">
      <c r="A459" s="1390" t="s">
        <v>1819</v>
      </c>
      <c r="B459" s="1391"/>
      <c r="C459" s="1392"/>
    </row>
    <row r="460" spans="1:3" ht="122.25" customHeight="1" x14ac:dyDescent="0.2">
      <c r="A460" s="958" t="s">
        <v>910</v>
      </c>
      <c r="B460" s="685" t="s">
        <v>1038</v>
      </c>
      <c r="C460" s="758" t="s">
        <v>1773</v>
      </c>
    </row>
    <row r="461" spans="1:3" ht="72" x14ac:dyDescent="0.2">
      <c r="A461" s="735" t="s">
        <v>1045</v>
      </c>
      <c r="B461" s="735" t="s">
        <v>1260</v>
      </c>
      <c r="C461" s="735" t="s">
        <v>1044</v>
      </c>
    </row>
    <row r="462" spans="1:3" ht="102.75" customHeight="1" x14ac:dyDescent="0.2">
      <c r="A462" s="754" t="s">
        <v>1046</v>
      </c>
      <c r="B462" s="320"/>
      <c r="C462" s="741" t="str">
        <f>IF(B462="","N/A","Answer Required")</f>
        <v>N/A</v>
      </c>
    </row>
    <row r="463" spans="1:3" ht="102.75" customHeight="1" x14ac:dyDescent="0.2">
      <c r="A463" s="755" t="s">
        <v>1047</v>
      </c>
      <c r="B463" s="720"/>
      <c r="C463" s="741" t="str">
        <f t="shared" ref="C463:C464" si="0">IF(B463="","N/A","Answer Required")</f>
        <v>N/A</v>
      </c>
    </row>
    <row r="464" spans="1:3" ht="102.75" customHeight="1" x14ac:dyDescent="0.2">
      <c r="A464" s="755" t="s">
        <v>1048</v>
      </c>
      <c r="B464" s="720"/>
      <c r="C464" s="741" t="str">
        <f t="shared" si="0"/>
        <v>N/A</v>
      </c>
    </row>
    <row r="465" spans="1:3" ht="18" customHeight="1" x14ac:dyDescent="0.2">
      <c r="A465" s="756" t="s">
        <v>373</v>
      </c>
      <c r="B465" s="757">
        <f>SUM(B462:B464)</f>
        <v>0</v>
      </c>
      <c r="C465" s="758"/>
    </row>
    <row r="466" spans="1:3" ht="30" customHeight="1" x14ac:dyDescent="0.2">
      <c r="A466" s="1390" t="s">
        <v>1820</v>
      </c>
      <c r="B466" s="1391"/>
      <c r="C466" s="1392"/>
    </row>
    <row r="467" spans="1:3" ht="18" customHeight="1" x14ac:dyDescent="0.2">
      <c r="A467" s="958" t="s">
        <v>506</v>
      </c>
      <c r="B467" s="685" t="str">
        <f>IF(B460="Yes","Answer Required","N/A")</f>
        <v>N/A</v>
      </c>
      <c r="C467" s="758" t="s">
        <v>1049</v>
      </c>
    </row>
    <row r="468" spans="1:3" ht="75.75" customHeight="1" x14ac:dyDescent="0.2">
      <c r="A468" s="1393" t="str">
        <f>IF(B467="yes","Answer Required","N/A")</f>
        <v>N/A</v>
      </c>
      <c r="B468" s="1394"/>
      <c r="C468" s="1395"/>
    </row>
    <row r="469" spans="1:3" ht="62.25" customHeight="1" x14ac:dyDescent="0.2">
      <c r="A469" s="1390" t="s">
        <v>1774</v>
      </c>
      <c r="B469" s="1391"/>
      <c r="C469" s="1392"/>
    </row>
    <row r="470" spans="1:3" ht="114.75" customHeight="1" x14ac:dyDescent="0.2">
      <c r="A470" s="958" t="s">
        <v>910</v>
      </c>
      <c r="B470" s="685" t="s">
        <v>1038</v>
      </c>
      <c r="C470" s="758" t="s">
        <v>1775</v>
      </c>
    </row>
    <row r="471" spans="1:3" ht="108" x14ac:dyDescent="0.2">
      <c r="A471" s="724"/>
      <c r="B471" s="735" t="s">
        <v>1261</v>
      </c>
      <c r="C471" s="735" t="s">
        <v>1357</v>
      </c>
    </row>
    <row r="472" spans="1:3" ht="99" customHeight="1" x14ac:dyDescent="0.2">
      <c r="A472" s="739"/>
      <c r="B472" s="320"/>
      <c r="C472" s="823" t="str">
        <f>IF(B472="","N/A","Answer Required")</f>
        <v>N/A</v>
      </c>
    </row>
    <row r="473" spans="1:3" ht="34.5" hidden="1" customHeight="1" x14ac:dyDescent="0.2">
      <c r="A473" s="1396" t="s">
        <v>1239</v>
      </c>
      <c r="B473" s="1397"/>
      <c r="C473" s="1398"/>
    </row>
    <row r="474" spans="1:3" hidden="1" x14ac:dyDescent="0.2">
      <c r="A474" s="958" t="s">
        <v>910</v>
      </c>
      <c r="B474" s="875" t="s">
        <v>1038</v>
      </c>
      <c r="C474" s="758" t="s">
        <v>1004</v>
      </c>
    </row>
    <row r="475" spans="1:3" ht="99.75" hidden="1" customHeight="1" x14ac:dyDescent="0.2">
      <c r="A475" s="1404" t="str">
        <f>IF(B474="Yes","Answer Required","N/A")</f>
        <v>N/A</v>
      </c>
      <c r="B475" s="1405"/>
      <c r="C475" s="1406"/>
    </row>
    <row r="476" spans="1:3" ht="29.25" customHeight="1" x14ac:dyDescent="0.2">
      <c r="A476" s="1396" t="s">
        <v>1776</v>
      </c>
      <c r="B476" s="1397"/>
      <c r="C476" s="1398"/>
    </row>
    <row r="477" spans="1:3" ht="17.25" customHeight="1" x14ac:dyDescent="0.2">
      <c r="A477" s="958" t="s">
        <v>506</v>
      </c>
      <c r="B477" s="311" t="str">
        <f>IF(OR(B460="Yes",B470="Yes"),"Answer Required","N/A")</f>
        <v>N/A</v>
      </c>
      <c r="C477" s="740"/>
    </row>
    <row r="478" spans="1:3" ht="17.25" customHeight="1" x14ac:dyDescent="0.2">
      <c r="A478" s="1390" t="s">
        <v>1050</v>
      </c>
      <c r="B478" s="1391"/>
      <c r="C478" s="1392"/>
    </row>
    <row r="479" spans="1:3" ht="99.75" customHeight="1" x14ac:dyDescent="0.2">
      <c r="A479" s="1399" t="str">
        <f>IF(B477="No","Answer Required","N/A")</f>
        <v>N/A</v>
      </c>
      <c r="B479" s="1400"/>
      <c r="C479" s="1401"/>
    </row>
    <row r="480" spans="1:3" ht="35.25" hidden="1" customHeight="1" x14ac:dyDescent="0.2">
      <c r="A480" s="1390" t="s">
        <v>1152</v>
      </c>
      <c r="B480" s="1391"/>
      <c r="C480" s="1392"/>
    </row>
    <row r="481" spans="1:3" ht="15" hidden="1" x14ac:dyDescent="0.2">
      <c r="A481" s="958" t="s">
        <v>506</v>
      </c>
      <c r="B481" s="873" t="str">
        <f>IF(OR(B460="Yes",B470="Yes",B474="Yes"),"Answer Required","N/A")</f>
        <v>N/A</v>
      </c>
      <c r="C481" s="740"/>
    </row>
    <row r="482" spans="1:3" hidden="1" x14ac:dyDescent="0.2">
      <c r="A482" s="1390" t="s">
        <v>960</v>
      </c>
      <c r="B482" s="1391"/>
      <c r="C482" s="1392"/>
    </row>
    <row r="483" spans="1:3" ht="105" hidden="1" customHeight="1" x14ac:dyDescent="0.2">
      <c r="A483" s="1404" t="str">
        <f>IF(B481="No","Answer Required","N/A")</f>
        <v>N/A</v>
      </c>
      <c r="B483" s="1405"/>
      <c r="C483" s="1406"/>
    </row>
    <row r="485" spans="1:3" x14ac:dyDescent="0.2">
      <c r="A485" s="170" t="s">
        <v>1646</v>
      </c>
    </row>
    <row r="486" spans="1:3" ht="18" customHeight="1" x14ac:dyDescent="0.2">
      <c r="A486" s="1390" t="s">
        <v>1647</v>
      </c>
      <c r="B486" s="1391"/>
      <c r="C486" s="1392"/>
    </row>
    <row r="487" spans="1:3" ht="12.75" customHeight="1" x14ac:dyDescent="0.2">
      <c r="A487" s="958" t="s">
        <v>143</v>
      </c>
      <c r="B487" s="766" t="s">
        <v>1038</v>
      </c>
      <c r="C487" s="740"/>
    </row>
    <row r="488" spans="1:3" ht="120.75" customHeight="1" x14ac:dyDescent="0.2">
      <c r="A488" s="1390" t="s">
        <v>1671</v>
      </c>
      <c r="B488" s="1391"/>
      <c r="C488" s="1392"/>
    </row>
    <row r="489" spans="1:3" ht="24" x14ac:dyDescent="0.2">
      <c r="A489" s="958" t="s">
        <v>506</v>
      </c>
      <c r="B489" s="311" t="str">
        <f>IF(B487="Yes","Answer Required","N/A")</f>
        <v>N/A</v>
      </c>
      <c r="C489" s="759" t="s">
        <v>1051</v>
      </c>
    </row>
    <row r="490" spans="1:3" ht="99" customHeight="1" x14ac:dyDescent="0.2">
      <c r="A490" s="1399" t="str">
        <f>IF(OR(B489="No",B489="Yes"),"Answer Required","N/A")</f>
        <v>N/A</v>
      </c>
      <c r="B490" s="1400"/>
      <c r="C490" s="1401"/>
    </row>
    <row r="491" spans="1:3" x14ac:dyDescent="0.2">
      <c r="B491" s="167"/>
      <c r="C491" s="167"/>
    </row>
    <row r="492" spans="1:3" x14ac:dyDescent="0.2">
      <c r="A492" s="1428" t="s">
        <v>1648</v>
      </c>
      <c r="B492" s="1428"/>
      <c r="C492" s="1428"/>
    </row>
    <row r="493" spans="1:3" ht="70.5" customHeight="1" x14ac:dyDescent="0.2">
      <c r="A493" s="958" t="s">
        <v>143</v>
      </c>
      <c r="B493" s="861" t="s">
        <v>1038</v>
      </c>
      <c r="C493" s="662" t="s">
        <v>1777</v>
      </c>
    </row>
    <row r="494" spans="1:3" ht="99" customHeight="1" x14ac:dyDescent="0.2">
      <c r="A494" s="1399" t="str">
        <f>IF(B493="Yes","Answer Required","N/A")</f>
        <v>N/A</v>
      </c>
      <c r="B494" s="1426"/>
      <c r="C494" s="1427"/>
    </row>
    <row r="495" spans="1:3" x14ac:dyDescent="0.2">
      <c r="B495" s="167"/>
      <c r="C495" s="167"/>
    </row>
    <row r="496" spans="1:3" x14ac:dyDescent="0.2">
      <c r="A496" s="1402" t="s">
        <v>1649</v>
      </c>
      <c r="B496" s="1403"/>
      <c r="C496" s="1403"/>
    </row>
    <row r="497" spans="1:3" ht="112.5" customHeight="1" x14ac:dyDescent="0.2">
      <c r="A497" s="1061" t="s">
        <v>1038</v>
      </c>
      <c r="B497" s="1388" t="s">
        <v>1778</v>
      </c>
      <c r="C497" s="1388"/>
    </row>
    <row r="498" spans="1:3" ht="93" customHeight="1" x14ac:dyDescent="0.2">
      <c r="A498" s="1385" t="str">
        <f>IF(A497="YES","Answer Required","N/A")</f>
        <v>N/A</v>
      </c>
      <c r="B498" s="1386"/>
      <c r="C498" s="1387"/>
    </row>
    <row r="499" spans="1:3" ht="19.5" customHeight="1" x14ac:dyDescent="0.2">
      <c r="A499" s="1421" t="s">
        <v>1650</v>
      </c>
      <c r="B499" s="1422"/>
      <c r="C499" s="1423"/>
    </row>
    <row r="500" spans="1:3" ht="58.5" customHeight="1" x14ac:dyDescent="0.2">
      <c r="A500" s="1061" t="s">
        <v>1038</v>
      </c>
      <c r="B500" s="1383" t="s">
        <v>1538</v>
      </c>
      <c r="C500" s="1384"/>
    </row>
    <row r="501" spans="1:3" ht="89.25" customHeight="1" x14ac:dyDescent="0.2">
      <c r="A501" s="1385" t="str">
        <f>IF(A500="YES","Answer Required","N/A")</f>
        <v>N/A</v>
      </c>
      <c r="B501" s="1386"/>
      <c r="C501" s="1387"/>
    </row>
    <row r="502" spans="1:3" x14ac:dyDescent="0.2">
      <c r="B502" s="167"/>
      <c r="C502" s="167"/>
    </row>
    <row r="503" spans="1:3" x14ac:dyDescent="0.2">
      <c r="B503" s="167"/>
      <c r="C503" s="167"/>
    </row>
    <row r="504" spans="1:3" ht="12.75" x14ac:dyDescent="0.2">
      <c r="A504" s="1389" t="s">
        <v>1651</v>
      </c>
      <c r="B504" s="1259"/>
      <c r="C504" s="1259"/>
    </row>
    <row r="505" spans="1:3" x14ac:dyDescent="0.2">
      <c r="A505" s="1415"/>
      <c r="B505" s="1416"/>
      <c r="C505" s="1417"/>
    </row>
    <row r="506" spans="1:3" ht="108.75" customHeight="1" x14ac:dyDescent="0.2">
      <c r="A506" s="1418" t="s">
        <v>1672</v>
      </c>
      <c r="B506" s="1419"/>
      <c r="C506" s="1420"/>
    </row>
    <row r="507" spans="1:3" ht="30" customHeight="1" x14ac:dyDescent="0.2">
      <c r="A507" s="1383" t="s">
        <v>1779</v>
      </c>
      <c r="B507" s="1410"/>
      <c r="C507" s="1384"/>
    </row>
    <row r="508" spans="1:3" x14ac:dyDescent="0.2">
      <c r="A508" s="957" t="s">
        <v>143</v>
      </c>
      <c r="B508" s="665" t="s">
        <v>1038</v>
      </c>
      <c r="C508" s="958" t="s">
        <v>1383</v>
      </c>
    </row>
    <row r="509" spans="1:3" x14ac:dyDescent="0.2">
      <c r="A509" s="957"/>
      <c r="B509" s="893" t="s">
        <v>586</v>
      </c>
      <c r="C509" s="894" t="s">
        <v>681</v>
      </c>
    </row>
    <row r="510" spans="1:3" x14ac:dyDescent="0.2">
      <c r="A510" s="853" t="s">
        <v>503</v>
      </c>
      <c r="B510" s="865"/>
      <c r="C510" s="671"/>
    </row>
    <row r="511" spans="1:3" x14ac:dyDescent="0.2">
      <c r="A511" s="853" t="s">
        <v>503</v>
      </c>
      <c r="B511" s="865"/>
      <c r="C511" s="671"/>
    </row>
    <row r="512" spans="1:3" x14ac:dyDescent="0.2">
      <c r="A512" s="853" t="s">
        <v>503</v>
      </c>
      <c r="B512" s="865"/>
      <c r="C512" s="671"/>
    </row>
    <row r="513" spans="1:3" ht="30" customHeight="1" x14ac:dyDescent="0.2">
      <c r="A513" s="1383" t="s">
        <v>1780</v>
      </c>
      <c r="B513" s="1410"/>
      <c r="C513" s="1384"/>
    </row>
    <row r="514" spans="1:3" x14ac:dyDescent="0.2">
      <c r="A514" s="958" t="s">
        <v>143</v>
      </c>
      <c r="B514" s="665" t="s">
        <v>1038</v>
      </c>
      <c r="C514" s="958"/>
    </row>
    <row r="515" spans="1:3" ht="38.25" customHeight="1" x14ac:dyDescent="0.2">
      <c r="A515" s="1390" t="s">
        <v>1781</v>
      </c>
      <c r="B515" s="1411"/>
      <c r="C515" s="1412"/>
    </row>
    <row r="516" spans="1:3" ht="165.75" customHeight="1" x14ac:dyDescent="0.2">
      <c r="A516" s="1399" t="str">
        <f>IF(B514="Yes","Answer Required","N/A")</f>
        <v>N/A</v>
      </c>
      <c r="B516" s="1407"/>
      <c r="C516" s="1408"/>
    </row>
    <row r="517" spans="1:3" ht="25.5" customHeight="1" x14ac:dyDescent="0.2">
      <c r="A517" s="1409" t="s">
        <v>1652</v>
      </c>
      <c r="B517" s="1410"/>
      <c r="C517" s="1384"/>
    </row>
    <row r="518" spans="1:3" x14ac:dyDescent="0.2">
      <c r="A518" s="958" t="s">
        <v>143</v>
      </c>
      <c r="B518" s="665" t="s">
        <v>1038</v>
      </c>
      <c r="C518" s="958" t="s">
        <v>1301</v>
      </c>
    </row>
    <row r="519" spans="1:3" x14ac:dyDescent="0.2">
      <c r="A519" s="958" t="s">
        <v>143</v>
      </c>
      <c r="B519" s="665" t="s">
        <v>1038</v>
      </c>
      <c r="C519" s="758" t="s">
        <v>1302</v>
      </c>
    </row>
    <row r="520" spans="1:3" x14ac:dyDescent="0.2">
      <c r="A520" s="958" t="s">
        <v>143</v>
      </c>
      <c r="B520" s="665" t="s">
        <v>1038</v>
      </c>
      <c r="C520" s="758" t="s">
        <v>1303</v>
      </c>
    </row>
    <row r="521" spans="1:3" ht="55.5" customHeight="1" x14ac:dyDescent="0.2">
      <c r="A521" s="1390" t="s">
        <v>1673</v>
      </c>
      <c r="B521" s="1411"/>
      <c r="C521" s="1412"/>
    </row>
    <row r="522" spans="1:3" ht="165.75" customHeight="1" x14ac:dyDescent="0.2">
      <c r="A522" s="1413" t="str">
        <f>IF(OR(B518="Yes",B519="Yes",B520="Yes"),"Answer Required","N/A")</f>
        <v>N/A</v>
      </c>
      <c r="B522" s="1414"/>
      <c r="C522" s="1414"/>
    </row>
    <row r="523" spans="1:3" s="511" customFormat="1" ht="12.75" x14ac:dyDescent="0.2">
      <c r="A523" s="1060"/>
      <c r="B523" s="1060"/>
      <c r="C523" s="1060"/>
    </row>
    <row r="524" spans="1:3" s="511" customFormat="1" ht="23.25" customHeight="1" x14ac:dyDescent="0.2">
      <c r="A524" s="1389" t="s">
        <v>1711</v>
      </c>
      <c r="B524" s="1259"/>
      <c r="C524" s="1259"/>
    </row>
    <row r="525" spans="1:3" s="511" customFormat="1" ht="105.75" customHeight="1" x14ac:dyDescent="0.2">
      <c r="A525" s="1061" t="s">
        <v>1038</v>
      </c>
      <c r="B525" s="1388" t="s">
        <v>1823</v>
      </c>
      <c r="C525" s="1388"/>
    </row>
    <row r="526" spans="1:3" s="718" customFormat="1" ht="64.150000000000006" customHeight="1" x14ac:dyDescent="0.2">
      <c r="A526" s="1385" t="str">
        <f>IF(A525="YES","Answer Required","N/A")</f>
        <v>N/A</v>
      </c>
      <c r="B526" s="1386"/>
      <c r="C526" s="1387"/>
    </row>
    <row r="527" spans="1:3" s="718" customFormat="1" x14ac:dyDescent="0.2">
      <c r="A527" s="1060"/>
      <c r="B527" s="1060"/>
      <c r="C527" s="1060"/>
    </row>
    <row r="528" spans="1:3" s="511" customFormat="1" ht="12.75" x14ac:dyDescent="0.2">
      <c r="A528" s="1102" t="s">
        <v>1653</v>
      </c>
      <c r="B528" s="1060"/>
      <c r="C528" s="1060"/>
    </row>
    <row r="529" spans="1:3" s="511" customFormat="1" ht="138.75" customHeight="1" x14ac:dyDescent="0.2">
      <c r="A529" s="1390" t="s">
        <v>1846</v>
      </c>
      <c r="B529" s="1391"/>
      <c r="C529" s="1392"/>
    </row>
    <row r="530" spans="1:3" s="511" customFormat="1" ht="13.5" customHeight="1" x14ac:dyDescent="0.2">
      <c r="A530" s="1103"/>
      <c r="B530" s="1104"/>
      <c r="C530" s="758"/>
    </row>
    <row r="531" spans="1:3" s="511" customFormat="1" ht="132.75" customHeight="1" x14ac:dyDescent="0.2">
      <c r="A531" s="1061" t="s">
        <v>1038</v>
      </c>
      <c r="B531" s="1388" t="s">
        <v>1824</v>
      </c>
      <c r="C531" s="1388"/>
    </row>
    <row r="532" spans="1:3" s="718" customFormat="1" ht="211.5" customHeight="1" x14ac:dyDescent="0.2">
      <c r="A532" s="685" t="str">
        <f>IF(A531="yes","Answer Required","N/A")</f>
        <v>N/A</v>
      </c>
      <c r="B532" s="1383" t="s">
        <v>1825</v>
      </c>
      <c r="C532" s="1384"/>
    </row>
    <row r="533" spans="1:3" s="718" customFormat="1" ht="117" customHeight="1" x14ac:dyDescent="0.2">
      <c r="A533" s="1385" t="str">
        <f>IF(A532="YES","Answer Required","N/A")</f>
        <v>N/A</v>
      </c>
      <c r="B533" s="1386"/>
      <c r="C533" s="1387"/>
    </row>
    <row r="534" spans="1:3" s="718" customFormat="1" ht="106.5" customHeight="1" x14ac:dyDescent="0.2">
      <c r="A534" s="685" t="str">
        <f>IF(A531="yes","Answer Required","N/A")</f>
        <v>N/A</v>
      </c>
      <c r="B534" s="1383" t="s">
        <v>1847</v>
      </c>
      <c r="C534" s="1384"/>
    </row>
    <row r="535" spans="1:3" s="718" customFormat="1" ht="95.25" customHeight="1" x14ac:dyDescent="0.2">
      <c r="A535" s="685" t="str">
        <f>IF(A531="yes","Answer Required","N/A")</f>
        <v>N/A</v>
      </c>
      <c r="B535" s="1383" t="s">
        <v>1654</v>
      </c>
      <c r="C535" s="1384"/>
    </row>
    <row r="536" spans="1:3" s="718" customFormat="1" ht="132.75" customHeight="1" x14ac:dyDescent="0.2">
      <c r="A536" s="1385" t="str">
        <f>IF(A535="YES","Answer Required","N/A")</f>
        <v>N/A</v>
      </c>
      <c r="B536" s="1386"/>
      <c r="C536" s="1387"/>
    </row>
    <row r="537" spans="1:3" s="718" customFormat="1" ht="98.25" customHeight="1" x14ac:dyDescent="0.2">
      <c r="A537" s="1061" t="s">
        <v>1038</v>
      </c>
      <c r="B537" s="1388" t="s">
        <v>1826</v>
      </c>
      <c r="C537" s="1388"/>
    </row>
    <row r="538" spans="1:3" s="718" customFormat="1" ht="117" customHeight="1" x14ac:dyDescent="0.2">
      <c r="A538" s="1385" t="str">
        <f>IF(A537="YES","Answer Required","N/A")</f>
        <v>N/A</v>
      </c>
      <c r="B538" s="1386"/>
      <c r="C538" s="1387"/>
    </row>
    <row r="539" spans="1:3" ht="19.5" customHeight="1" x14ac:dyDescent="0.2">
      <c r="A539" s="1380" t="s">
        <v>1828</v>
      </c>
      <c r="B539" s="1381"/>
      <c r="C539" s="1382"/>
    </row>
    <row r="540" spans="1:3" ht="190.5" customHeight="1" x14ac:dyDescent="0.2">
      <c r="A540" s="1061" t="s">
        <v>1038</v>
      </c>
      <c r="B540" s="1383" t="s">
        <v>1848</v>
      </c>
      <c r="C540" s="1384"/>
    </row>
    <row r="541" spans="1:3" ht="89.25" customHeight="1" x14ac:dyDescent="0.2">
      <c r="A541" s="1385" t="str">
        <f>IF(A540="YES","Answer Required","N/A")</f>
        <v>N/A</v>
      </c>
      <c r="B541" s="1386"/>
      <c r="C541" s="1387"/>
    </row>
    <row r="542" spans="1:3" ht="19.5" customHeight="1" x14ac:dyDescent="0.2">
      <c r="A542" s="1380" t="s">
        <v>1810</v>
      </c>
      <c r="B542" s="1381"/>
      <c r="C542" s="1382"/>
    </row>
    <row r="543" spans="1:3" ht="81" customHeight="1" x14ac:dyDescent="0.2">
      <c r="A543" s="1061" t="s">
        <v>1038</v>
      </c>
      <c r="B543" s="1383" t="s">
        <v>1849</v>
      </c>
      <c r="C543" s="1384"/>
    </row>
    <row r="544" spans="1:3" ht="89.25" customHeight="1" x14ac:dyDescent="0.2">
      <c r="A544" s="1385" t="str">
        <f>IF(A543="YES","Answer Required","N/A")</f>
        <v>N/A</v>
      </c>
      <c r="B544" s="1386"/>
      <c r="C544" s="1387"/>
    </row>
  </sheetData>
  <sheetProtection algorithmName="SHA-512" hashValue="hVIGJHsge4kgEsrKoG8qZceTlc0vZAd5t4pGjFtbIuv8LylRELIgyjvlB4DNVGkCCow4FRcEhQ5i7gYcN6PHAg==" saltValue="pqkhJNv0HOayAsJk7syAuw==" spinCount="100000" sheet="1" objects="1" scenarios="1"/>
  <mergeCells count="184">
    <mergeCell ref="A488:C488"/>
    <mergeCell ref="A490:C490"/>
    <mergeCell ref="A480:C480"/>
    <mergeCell ref="A482:C482"/>
    <mergeCell ref="A483:C483"/>
    <mergeCell ref="A458:C458"/>
    <mergeCell ref="A459:C459"/>
    <mergeCell ref="A469:C469"/>
    <mergeCell ref="A309:C309"/>
    <mergeCell ref="A320:C320"/>
    <mergeCell ref="A321:C321"/>
    <mergeCell ref="A451:C451"/>
    <mergeCell ref="A452:C452"/>
    <mergeCell ref="A453:C453"/>
    <mergeCell ref="A327:C327"/>
    <mergeCell ref="A328:C328"/>
    <mergeCell ref="A329:C329"/>
    <mergeCell ref="A357:C357"/>
    <mergeCell ref="A390:C390"/>
    <mergeCell ref="A392:C392"/>
    <mergeCell ref="A408:C408"/>
    <mergeCell ref="A417:C417"/>
    <mergeCell ref="A433:C433"/>
    <mergeCell ref="A435:C435"/>
    <mergeCell ref="A436:C436"/>
    <mergeCell ref="A440:C440"/>
    <mergeCell ref="A441:C441"/>
    <mergeCell ref="A312:C312"/>
    <mergeCell ref="A319:C319"/>
    <mergeCell ref="A306:C306"/>
    <mergeCell ref="A308:C308"/>
    <mergeCell ref="A278:C278"/>
    <mergeCell ref="A264:C264"/>
    <mergeCell ref="A272:C272"/>
    <mergeCell ref="A275:C275"/>
    <mergeCell ref="A266:C266"/>
    <mergeCell ref="A311:C311"/>
    <mergeCell ref="A310:C310"/>
    <mergeCell ref="A304:C304"/>
    <mergeCell ref="A305:C305"/>
    <mergeCell ref="A284:C284"/>
    <mergeCell ref="A285:C285"/>
    <mergeCell ref="A292:C292"/>
    <mergeCell ref="A282:C282"/>
    <mergeCell ref="A293:C293"/>
    <mergeCell ref="A300:C300"/>
    <mergeCell ref="A301:C301"/>
    <mergeCell ref="A302:C302"/>
    <mergeCell ref="A41:C41"/>
    <mergeCell ref="A44:C44"/>
    <mergeCell ref="A47:C47"/>
    <mergeCell ref="A60:C60"/>
    <mergeCell ref="A62:C62"/>
    <mergeCell ref="A43:C43"/>
    <mergeCell ref="A188:C188"/>
    <mergeCell ref="A63:C63"/>
    <mergeCell ref="A166:C166"/>
    <mergeCell ref="A186:C186"/>
    <mergeCell ref="A66:C66"/>
    <mergeCell ref="A76:C76"/>
    <mergeCell ref="A99:C99"/>
    <mergeCell ref="A121:C121"/>
    <mergeCell ref="A9:C9"/>
    <mergeCell ref="B27:C27"/>
    <mergeCell ref="B28:C28"/>
    <mergeCell ref="A13:C13"/>
    <mergeCell ref="B29:C29"/>
    <mergeCell ref="B14:C14"/>
    <mergeCell ref="B16:C16"/>
    <mergeCell ref="B15:C15"/>
    <mergeCell ref="A25:C25"/>
    <mergeCell ref="A24:C24"/>
    <mergeCell ref="B26:C26"/>
    <mergeCell ref="B18:C18"/>
    <mergeCell ref="B20:C20"/>
    <mergeCell ref="B22:C22"/>
    <mergeCell ref="A34:C34"/>
    <mergeCell ref="A35:C35"/>
    <mergeCell ref="A38:C38"/>
    <mergeCell ref="A32:C32"/>
    <mergeCell ref="A49:C49"/>
    <mergeCell ref="A50:C50"/>
    <mergeCell ref="A53:C53"/>
    <mergeCell ref="A55:C55"/>
    <mergeCell ref="A189:C189"/>
    <mergeCell ref="A144:C144"/>
    <mergeCell ref="A177:C177"/>
    <mergeCell ref="A178:C178"/>
    <mergeCell ref="A164:C164"/>
    <mergeCell ref="A165:C165"/>
    <mergeCell ref="A167:C167"/>
    <mergeCell ref="A171:C171"/>
    <mergeCell ref="A173:C173"/>
    <mergeCell ref="A59:C59"/>
    <mergeCell ref="A56:C56"/>
    <mergeCell ref="A168:C168"/>
    <mergeCell ref="A169:C169"/>
    <mergeCell ref="A182:C182"/>
    <mergeCell ref="A184:C184"/>
    <mergeCell ref="A185:C185"/>
    <mergeCell ref="A262:C262"/>
    <mergeCell ref="A68:C68"/>
    <mergeCell ref="A258:B258"/>
    <mergeCell ref="A259:B259"/>
    <mergeCell ref="A261:C261"/>
    <mergeCell ref="A257:B257"/>
    <mergeCell ref="A222:C222"/>
    <mergeCell ref="A277:C277"/>
    <mergeCell ref="A276:C276"/>
    <mergeCell ref="A267:C267"/>
    <mergeCell ref="A269:C269"/>
    <mergeCell ref="A270:C270"/>
    <mergeCell ref="A192:C192"/>
    <mergeCell ref="A191:C191"/>
    <mergeCell ref="A221:C221"/>
    <mergeCell ref="A255:B255"/>
    <mergeCell ref="A256:B256"/>
    <mergeCell ref="A253:B253"/>
    <mergeCell ref="A254:B254"/>
    <mergeCell ref="A325:C325"/>
    <mergeCell ref="A423:C423"/>
    <mergeCell ref="A424:C424"/>
    <mergeCell ref="A494:C494"/>
    <mergeCell ref="A492:C492"/>
    <mergeCell ref="A504:C504"/>
    <mergeCell ref="A444:C444"/>
    <mergeCell ref="A445:C445"/>
    <mergeCell ref="A426:C426"/>
    <mergeCell ref="A427:C427"/>
    <mergeCell ref="A429:C429"/>
    <mergeCell ref="A431:C431"/>
    <mergeCell ref="A432:C432"/>
    <mergeCell ref="A419:C419"/>
    <mergeCell ref="A420:C420"/>
    <mergeCell ref="A422:C422"/>
    <mergeCell ref="A501:C501"/>
    <mergeCell ref="A393:C393"/>
    <mergeCell ref="A395:C395"/>
    <mergeCell ref="A396:C396"/>
    <mergeCell ref="A397:C397"/>
    <mergeCell ref="A438:C438"/>
    <mergeCell ref="A446:C446"/>
    <mergeCell ref="A455:C455"/>
    <mergeCell ref="A466:C466"/>
    <mergeCell ref="A468:C468"/>
    <mergeCell ref="A476:C476"/>
    <mergeCell ref="A478:C478"/>
    <mergeCell ref="A479:C479"/>
    <mergeCell ref="A496:C496"/>
    <mergeCell ref="A456:C456"/>
    <mergeCell ref="A486:C486"/>
    <mergeCell ref="A536:C536"/>
    <mergeCell ref="A473:C473"/>
    <mergeCell ref="A516:C516"/>
    <mergeCell ref="A517:C517"/>
    <mergeCell ref="A521:C521"/>
    <mergeCell ref="A522:C522"/>
    <mergeCell ref="A505:C505"/>
    <mergeCell ref="A506:C506"/>
    <mergeCell ref="A507:C507"/>
    <mergeCell ref="A513:C513"/>
    <mergeCell ref="A515:C515"/>
    <mergeCell ref="B497:C497"/>
    <mergeCell ref="A498:C498"/>
    <mergeCell ref="A499:C499"/>
    <mergeCell ref="B500:C500"/>
    <mergeCell ref="A475:C475"/>
    <mergeCell ref="A539:C539"/>
    <mergeCell ref="B540:C540"/>
    <mergeCell ref="A541:C541"/>
    <mergeCell ref="A542:C542"/>
    <mergeCell ref="B543:C543"/>
    <mergeCell ref="A544:C544"/>
    <mergeCell ref="B537:C537"/>
    <mergeCell ref="A538:C538"/>
    <mergeCell ref="A524:C524"/>
    <mergeCell ref="B525:C525"/>
    <mergeCell ref="A526:C526"/>
    <mergeCell ref="A529:C529"/>
    <mergeCell ref="B531:C531"/>
    <mergeCell ref="B532:C532"/>
    <mergeCell ref="A533:C533"/>
    <mergeCell ref="B534:C534"/>
    <mergeCell ref="B535:C535"/>
  </mergeCells>
  <phoneticPr fontId="12" type="noConversion"/>
  <conditionalFormatting sqref="A497">
    <cfRule type="cellIs" dxfId="84" priority="36" operator="equal">
      <formula>"Error"</formula>
    </cfRule>
    <cfRule type="cellIs" dxfId="83" priority="35" operator="equal">
      <formula>"Answer Required"</formula>
    </cfRule>
  </conditionalFormatting>
  <conditionalFormatting sqref="A498">
    <cfRule type="containsText" dxfId="82" priority="34" operator="containsText" text="Answer Required">
      <formula>NOT(ISERROR(SEARCH("Answer Required",A498)))</formula>
    </cfRule>
  </conditionalFormatting>
  <conditionalFormatting sqref="A500">
    <cfRule type="cellIs" dxfId="81" priority="32" operator="equal">
      <formula>"Error"</formula>
    </cfRule>
    <cfRule type="cellIs" dxfId="80" priority="31" operator="equal">
      <formula>"Answer Required"</formula>
    </cfRule>
  </conditionalFormatting>
  <conditionalFormatting sqref="A501">
    <cfRule type="containsText" dxfId="79" priority="30" operator="containsText" text="Answer Required">
      <formula>NOT(ISERROR(SEARCH("Answer Required",A501)))</formula>
    </cfRule>
  </conditionalFormatting>
  <conditionalFormatting sqref="A523">
    <cfRule type="cellIs" dxfId="78" priority="42" operator="equal">
      <formula>"Answer Required"</formula>
    </cfRule>
  </conditionalFormatting>
  <conditionalFormatting sqref="A525">
    <cfRule type="cellIs" dxfId="77" priority="25" operator="equal">
      <formula>"Error"</formula>
    </cfRule>
    <cfRule type="cellIs" dxfId="76" priority="24" operator="equal">
      <formula>"Answer Required"</formula>
    </cfRule>
  </conditionalFormatting>
  <conditionalFormatting sqref="A526">
    <cfRule type="containsText" dxfId="75" priority="23" operator="containsText" text="Answer Required">
      <formula>NOT(ISERROR(SEARCH("Answer Required",A526)))</formula>
    </cfRule>
  </conditionalFormatting>
  <conditionalFormatting sqref="A527">
    <cfRule type="cellIs" dxfId="74" priority="22" operator="equal">
      <formula>"Answer Required"</formula>
    </cfRule>
  </conditionalFormatting>
  <conditionalFormatting sqref="A531">
    <cfRule type="cellIs" dxfId="73" priority="19" operator="equal">
      <formula>"Error"</formula>
    </cfRule>
  </conditionalFormatting>
  <conditionalFormatting sqref="A531:A532">
    <cfRule type="cellIs" dxfId="72" priority="18" operator="equal">
      <formula>"Answer Required"</formula>
    </cfRule>
  </conditionalFormatting>
  <conditionalFormatting sqref="A537">
    <cfRule type="cellIs" dxfId="69" priority="15" operator="equal">
      <formula>"Answer Required"</formula>
    </cfRule>
    <cfRule type="cellIs" dxfId="68" priority="16" operator="equal">
      <formula>"Error"</formula>
    </cfRule>
  </conditionalFormatting>
  <conditionalFormatting sqref="A540">
    <cfRule type="cellIs" dxfId="66" priority="10" operator="equal">
      <formula>"Error"</formula>
    </cfRule>
    <cfRule type="cellIs" dxfId="65" priority="9" operator="equal">
      <formula>"Answer Required"</formula>
    </cfRule>
  </conditionalFormatting>
  <conditionalFormatting sqref="A541 A544">
    <cfRule type="containsText" dxfId="64" priority="8" operator="containsText" text="Answer Required">
      <formula>NOT(ISERROR(SEARCH("Answer Required",A541)))</formula>
    </cfRule>
  </conditionalFormatting>
  <conditionalFormatting sqref="A543">
    <cfRule type="cellIs" dxfId="63" priority="5" operator="equal">
      <formula>"Answer Required"</formula>
    </cfRule>
    <cfRule type="cellIs" dxfId="62" priority="6" operator="equal">
      <formula>"Error"</formula>
    </cfRule>
  </conditionalFormatting>
  <conditionalFormatting sqref="A361:B386 D383:XFD386 A387:XFD478 A479 D479:XFD479 A480:XFD490 D491:XFD491 A492:XFD494 D495:XFD522 A545:XFD1048576">
    <cfRule type="cellIs" dxfId="61" priority="82" operator="equal">
      <formula>"Answer Required"</formula>
    </cfRule>
  </conditionalFormatting>
  <conditionalFormatting sqref="A389:B389">
    <cfRule type="containsText" dxfId="60" priority="85" operator="containsText" text="no-error">
      <formula>NOT(ISERROR(SEARCH("no-error",A389)))</formula>
    </cfRule>
  </conditionalFormatting>
  <conditionalFormatting sqref="A534:B535">
    <cfRule type="cellIs" dxfId="59" priority="13" operator="equal">
      <formula>"Answer Required"</formula>
    </cfRule>
  </conditionalFormatting>
  <conditionalFormatting sqref="A293:C293">
    <cfRule type="containsText" dxfId="58" priority="81" operator="containsText" text="Answer Required">
      <formula>NOT(ISERROR(SEARCH("Answer Required",A293)))</formula>
    </cfRule>
  </conditionalFormatting>
  <conditionalFormatting sqref="A301:C301">
    <cfRule type="containsText" dxfId="57" priority="80" operator="containsText" text="Answer Required">
      <formula>NOT(ISERROR(SEARCH("Answer Required",A301)))</formula>
    </cfRule>
  </conditionalFormatting>
  <conditionalFormatting sqref="A319:C319">
    <cfRule type="containsText" dxfId="56" priority="79" operator="containsText" text="Answer Required">
      <formula>NOT(ISERROR(SEARCH("Answer Required",A319)))</formula>
    </cfRule>
  </conditionalFormatting>
  <conditionalFormatting sqref="A325:C325">
    <cfRule type="containsText" dxfId="55" priority="77" operator="containsText" text="Answer Required">
      <formula>NOT(ISERROR(SEARCH("Answer Required",A325)))</formula>
    </cfRule>
  </conditionalFormatting>
  <conditionalFormatting sqref="A494:C494">
    <cfRule type="containsText" dxfId="54" priority="63" operator="containsText" text="Answer Required">
      <formula>NOT(ISERROR(SEARCH("Answer Required",A494)))</formula>
    </cfRule>
  </conditionalFormatting>
  <conditionalFormatting sqref="A496:C496">
    <cfRule type="cellIs" dxfId="53" priority="33" operator="equal">
      <formula>"Answer Required"</formula>
    </cfRule>
  </conditionalFormatting>
  <conditionalFormatting sqref="A499:C499">
    <cfRule type="cellIs" dxfId="52" priority="29" operator="equal">
      <formula>"Answer Required"</formula>
    </cfRule>
  </conditionalFormatting>
  <conditionalFormatting sqref="A504:C522">
    <cfRule type="cellIs" dxfId="51" priority="48" operator="equal">
      <formula>"Answer Required"</formula>
    </cfRule>
  </conditionalFormatting>
  <conditionalFormatting sqref="A524:C524 A529:C529 B530:C530">
    <cfRule type="cellIs" dxfId="50" priority="26" operator="equal">
      <formula>"Answer Required"</formula>
    </cfRule>
  </conditionalFormatting>
  <conditionalFormatting sqref="A539:C539">
    <cfRule type="cellIs" dxfId="49" priority="7" operator="equal">
      <formula>"Answer Required"</formula>
    </cfRule>
  </conditionalFormatting>
  <conditionalFormatting sqref="A542:C542">
    <cfRule type="cellIs" dxfId="48" priority="4" operator="equal">
      <formula>"Answer Required"</formula>
    </cfRule>
  </conditionalFormatting>
  <conditionalFormatting sqref="A1:XFD360">
    <cfRule type="cellIs" dxfId="47" priority="47" operator="equal">
      <formula>"Answer Required"</formula>
    </cfRule>
  </conditionalFormatting>
  <conditionalFormatting sqref="B356">
    <cfRule type="containsText" dxfId="46" priority="88" operator="containsText" text="no-error">
      <formula>NOT(ISERROR(SEARCH("no-error",B356)))</formula>
    </cfRule>
  </conditionalFormatting>
  <conditionalFormatting sqref="C384:C386">
    <cfRule type="cellIs" dxfId="45" priority="28" operator="equal">
      <formula>"Answer Required"</formula>
    </cfRule>
  </conditionalFormatting>
  <conditionalFormatting sqref="C391">
    <cfRule type="containsText" dxfId="44" priority="84" operator="containsText" text="Since there are amounts reported in Parts 22a and/or 22b, a Yes or No answer is required in Part 22c.">
      <formula>NOT(ISERROR(SEARCH("Since there are amounts reported in Parts 22a and/or 22b, a Yes or No answer is required in Part 22c.",C391)))</formula>
    </cfRule>
  </conditionalFormatting>
  <conditionalFormatting sqref="C418">
    <cfRule type="containsText" dxfId="43" priority="83" operator="containsText" text="Since there are amounts reported in Part 22a items 2-8, Part 22b items 4-13, Part 23a, and/or Part 23b, a Yes or No answer is required for Part 23c.">
      <formula>NOT(ISERROR(SEARCH("Since there are amounts reported in Part 22a items 2-8, Part 22b items 4-13, Part 23a, and/or Part 23b, a Yes or No answer is required for Part 23c.",C418)))</formula>
    </cfRule>
  </conditionalFormatting>
  <conditionalFormatting sqref="C361:XFD382">
    <cfRule type="cellIs" dxfId="42" priority="64" operator="equal">
      <formula>"Answer Required"</formula>
    </cfRule>
  </conditionalFormatting>
  <conditionalFormatting sqref="D526:XFD527 B532">
    <cfRule type="cellIs" dxfId="41" priority="27" operator="equal">
      <formula>"Answer Required"</formula>
    </cfRule>
  </conditionalFormatting>
  <conditionalFormatting sqref="D532:XFD544">
    <cfRule type="cellIs" dxfId="40" priority="11" operator="equal">
      <formula>"Answer Required"</formula>
    </cfRule>
  </conditionalFormatting>
  <conditionalFormatting sqref="O334">
    <cfRule type="containsText" dxfId="39" priority="87" operator="containsText" text="Error - See Note A">
      <formula>NOT(ISERROR(SEARCH("Error - See Note A",O334)))</formula>
    </cfRule>
  </conditionalFormatting>
  <conditionalFormatting sqref="O364">
    <cfRule type="containsText" dxfId="38" priority="86" operator="containsText" text="Error - See Note A">
      <formula>NOT(ISERROR(SEARCH("Error - See Note A",O364)))</formula>
    </cfRule>
  </conditionalFormatting>
  <conditionalFormatting sqref="A533">
    <cfRule type="containsText" dxfId="2" priority="3" operator="containsText" text="Answer Required">
      <formula>NOT(ISERROR(SEARCH("Answer Required",A533)))</formula>
    </cfRule>
  </conditionalFormatting>
  <conditionalFormatting sqref="A536">
    <cfRule type="containsText" dxfId="1" priority="2" operator="containsText" text="Answer Required">
      <formula>NOT(ISERROR(SEARCH("Answer Required",A536)))</formula>
    </cfRule>
  </conditionalFormatting>
  <conditionalFormatting sqref="A538">
    <cfRule type="containsText" dxfId="0" priority="1" operator="containsText" text="Answer Required">
      <formula>NOT(ISERROR(SEARCH("Answer Required",A538)))</formula>
    </cfRule>
  </conditionalFormatting>
  <dataValidations count="19">
    <dataValidation type="list" allowBlank="1" showInputMessage="1" showErrorMessage="1" error="Enter Yes, No, or N/A." sqref="B281 B21 B204 B233 B235 B237 B241 B245 B271 B287:B291 B295:B299 B314:B318 B323:B324 B391 B418 B430 B439 B454 B215 B481 A534:A535 B249 B174 A532" xr:uid="{00000000-0002-0000-0F00-000000000000}">
      <formula1>$M$4:$M$6</formula1>
    </dataValidation>
    <dataValidation type="list" allowBlank="1" showInputMessage="1" showErrorMessage="1" error="Enter Yes or No." sqref="B460 B217 B19 B48 B54 B61 B67 B474 B183 B187 B193 B195 B200 B207 B209 B470 B198 B219 B223 B263 B265 B268 B280 B286 B294 B307 B313 B322 B330 B358 B398 B409 B425 B434 B447:B450 B211 B42 B170 B172 B518:B520 B514 B508" xr:uid="{00000000-0002-0000-0F00-000001000000}">
      <formula1>$L$4:$L$5</formula1>
    </dataValidation>
    <dataValidation allowBlank="1" showInputMessage="1" showErrorMessage="1" error="Enter Yes or No." sqref="B387:B389 B205:B206 B220 B218 B216 B210 B201:B203 B196:B197 B199 B208 B194 B212:B214 B354:B355 B406 B415 A331:A353 A359:A386 B361:B362" xr:uid="{00000000-0002-0000-0F00-000002000000}"/>
    <dataValidation type="whole" allowBlank="1" showInputMessage="1" showErrorMessage="1" error="Enter whole number." sqref="B411:B414 B462:B466 B123:B136 B101:B114 B78:B91 B146:B159 B400:B405 B472 B332:B353 B175:B176 B510:B512 B360 B363:B386 B70:B71" xr:uid="{00000000-0002-0000-0F00-000003000000}">
      <formula1>-10000000000000000</formula1>
      <formula2>10000000000000000</formula2>
    </dataValidation>
    <dataValidation type="list" allowBlank="1" showInputMessage="1" showErrorMessage="1" errorTitle="Method Used to Determine Value" error="USE DROP DOWN MENU_x000a__x000a_Must be FIFO, LIFO, Average Cost, or Weighted Average." sqref="B14:C14" xr:uid="{00000000-0002-0000-0F00-000004000000}">
      <formula1>$G$4:$G$7</formula1>
    </dataValidation>
    <dataValidation type="list" showInputMessage="1" showErrorMessage="1" errorTitle="Cost Used to Determine Value" error="USE DROP DOWN MENU_x000a__x000a_Must be one of the following:  Lower of Cost or Market, Average Cost, Cost, or Current Market Cost" sqref="B15:C15" xr:uid="{00000000-0002-0000-0F00-000005000000}">
      <formula1>$H$4:$H$7</formula1>
    </dataValidation>
    <dataValidation type="list" allowBlank="1" showInputMessage="1" showErrorMessage="1" error="Use drop-down list to enter description" sqref="B27:C28" xr:uid="{00000000-0002-0000-0F00-000006000000}">
      <formula1>$K$4:$K$8</formula1>
    </dataValidation>
    <dataValidation type="whole" allowBlank="1" showInputMessage="1" showErrorMessage="1" error="Enter whole number." sqref="C256" xr:uid="{00000000-0002-0000-0F00-000007000000}">
      <formula1>-1E+27</formula1>
      <formula2>1E+27</formula2>
    </dataValidation>
    <dataValidation type="whole" allowBlank="1" showInputMessage="1" showErrorMessage="1" error="Enter a 3-digit agency control number." sqref="C1" xr:uid="{00000000-0002-0000-0F00-000008000000}">
      <formula1>100</formula1>
      <formula2>999</formula2>
    </dataValidation>
    <dataValidation type="list" allowBlank="1" showInputMessage="1" showErrorMessage="1" error="Enter Yes, No, or N/A" sqref="B17 B489 B467" xr:uid="{00000000-0002-0000-0F00-000009000000}">
      <formula1>$M$4:$M$6</formula1>
    </dataValidation>
    <dataValidation type="list" allowBlank="1" showInputMessage="1" showErrorMessage="1" error="Enter Yes, No or N/A." sqref="B247 B250" xr:uid="{00000000-0002-0000-0F00-00000A000000}">
      <formula1>$M$4:$M$6</formula1>
    </dataValidation>
    <dataValidation allowBlank="1" showInputMessage="1" sqref="A468:C468 A475:C475 C472 A479:C479 A483:C483 A490:C490" xr:uid="{00000000-0002-0000-0F00-00000B000000}"/>
    <dataValidation type="list" allowBlank="1" showInputMessage="1" showErrorMessage="1" error="Enter Yes, No or N/A" sqref="B477" xr:uid="{00000000-0002-0000-0F00-00000C000000}">
      <formula1>$M$4:$M$6</formula1>
    </dataValidation>
    <dataValidation type="list" allowBlank="1" showInputMessage="1" showErrorMessage="1" error="Enter Yes or No" sqref="B487 B493" xr:uid="{00000000-0002-0000-0F00-00000D000000}">
      <formula1>$L$4:$L$5</formula1>
    </dataValidation>
    <dataValidation type="whole" allowBlank="1" showInputMessage="1" showErrorMessage="1" error="Enter whole number." sqref="C254:C255" xr:uid="{00000000-0002-0000-0F00-00000E000000}">
      <formula1>-1000000000000000</formula1>
      <formula2>100000000000000</formula2>
    </dataValidation>
    <dataValidation type="list" allowBlank="1" showInputMessage="1" showErrorMessage="1" error="Enter Yes or No." sqref="B508" xr:uid="{00000000-0002-0000-0F00-00000F000000}">
      <formula1>$L$5:$L$6</formula1>
    </dataValidation>
    <dataValidation type="list" allowBlank="1" showInputMessage="1" showErrorMessage="1" error="Use drop-down list to enter description" sqref="B29:C29" xr:uid="{00000000-0002-0000-0F00-000010000000}">
      <formula1>$K$4:$K$9</formula1>
    </dataValidation>
    <dataValidation type="list" allowBlank="1" showInputMessage="1" showErrorMessage="1" error="Please use the drop-down to select Yes or No." sqref="A497 A500 A525 A531 A537 A540 A543" xr:uid="{00000000-0002-0000-0F00-000011000000}">
      <formula1>"yes,no"</formula1>
    </dataValidation>
    <dataValidation type="list" allowBlank="1" showInputMessage="1" showErrorMessage="1" errorTitle="Answer Required" error="Enter Yes, No, or N/A." sqref="B36" xr:uid="{B883ABCF-8D90-49F3-B9CA-CADE18647A8A}">
      <formula1>$M$4:$M$6</formula1>
    </dataValidation>
  </dataValidations>
  <pageMargins left="0.7" right="0.7" top="0.75" bottom="0.75" header="0.3" footer="0.3"/>
  <pageSetup scale="56" fitToHeight="0" orientation="portrait" cellComments="asDisplayed" r:id="rId1"/>
  <headerFooter alignWithMargins="0">
    <oddHeader>&amp;C&amp;"Arial,Bold"&amp;11Attachment HE-10
Financial Statement Template
&amp;A</oddHeader>
    <oddFooter>&amp;L&amp;"Arial,Regular"&amp;F \ &amp;A&amp;R&amp;"Arial,Regular"Page &amp;P</oddFooter>
  </headerFooter>
  <rowBreaks count="11" manualBreakCount="11">
    <brk id="33" max="16383" man="1"/>
    <brk id="64" max="16383" man="1"/>
    <brk id="98" max="16383" man="1"/>
    <brk id="143" max="16383" man="1"/>
    <brk id="178" max="15" man="1"/>
    <brk id="220" max="16383" man="1"/>
    <brk id="326" max="16383" man="1"/>
    <brk id="356" max="16383" man="1"/>
    <brk id="468" max="16383" man="1"/>
    <brk id="495" max="16383" man="1"/>
    <brk id="523"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40"/>
  <sheetViews>
    <sheetView showGridLines="0" zoomScaleNormal="100" workbookViewId="0"/>
  </sheetViews>
  <sheetFormatPr defaultColWidth="10.6640625" defaultRowHeight="12.75" x14ac:dyDescent="0.2"/>
  <cols>
    <col min="1" max="1" width="40.6640625" style="188" customWidth="1"/>
    <col min="2" max="2" width="18.1640625" style="188" customWidth="1"/>
    <col min="3" max="5" width="18.33203125" style="188" customWidth="1"/>
    <col min="6" max="6" width="17.5" style="188" customWidth="1"/>
    <col min="7" max="16384" width="10.6640625" style="188"/>
  </cols>
  <sheetData>
    <row r="1" spans="1:8" x14ac:dyDescent="0.2">
      <c r="A1" s="824" t="s">
        <v>1155</v>
      </c>
      <c r="C1" s="1284">
        <f>FST!E1</f>
        <v>0</v>
      </c>
      <c r="D1" s="1241"/>
      <c r="E1" s="1241"/>
    </row>
    <row r="2" spans="1:8" s="33" customFormat="1" ht="38.25" customHeight="1" x14ac:dyDescent="0.2">
      <c r="A2" s="824" t="s">
        <v>770</v>
      </c>
      <c r="B2" s="31"/>
      <c r="C2" s="1284" t="str">
        <f>FST!E2</f>
        <v/>
      </c>
      <c r="D2" s="1241"/>
      <c r="E2" s="1241"/>
      <c r="F2" s="31"/>
      <c r="G2" s="10"/>
      <c r="H2" s="10"/>
    </row>
    <row r="3" spans="1:8" s="33" customFormat="1" ht="13.5" customHeight="1" x14ac:dyDescent="0.2">
      <c r="A3" s="824" t="s">
        <v>771</v>
      </c>
      <c r="B3" s="31"/>
      <c r="C3" s="1287">
        <f>FST!E3</f>
        <v>0</v>
      </c>
      <c r="D3" s="1250"/>
      <c r="E3" s="1250"/>
      <c r="F3" s="31"/>
      <c r="G3" s="10"/>
      <c r="H3" s="10"/>
    </row>
    <row r="4" spans="1:8" s="33" customFormat="1" ht="12.6" customHeight="1" x14ac:dyDescent="0.2">
      <c r="A4" s="824" t="s">
        <v>773</v>
      </c>
      <c r="B4" s="31"/>
      <c r="C4" s="1288">
        <f>FST!E4</f>
        <v>0</v>
      </c>
      <c r="D4" s="1252"/>
      <c r="E4" s="1252"/>
      <c r="F4" s="31"/>
      <c r="G4" s="10"/>
      <c r="H4" s="10"/>
    </row>
    <row r="5" spans="1:8" s="33" customFormat="1" ht="12.6" customHeight="1" x14ac:dyDescent="0.2">
      <c r="A5" s="825" t="s">
        <v>774</v>
      </c>
      <c r="B5" s="31"/>
      <c r="C5" s="1287">
        <f>FST!E5</f>
        <v>0</v>
      </c>
      <c r="D5" s="1250"/>
      <c r="E5" s="1250"/>
      <c r="F5" s="31"/>
      <c r="G5" s="10"/>
      <c r="H5" s="10"/>
    </row>
    <row r="6" spans="1:8" s="33" customFormat="1" ht="12.6" customHeight="1" x14ac:dyDescent="0.2">
      <c r="A6" s="826" t="s">
        <v>775</v>
      </c>
      <c r="B6" s="31"/>
      <c r="C6" s="1277">
        <f>FST!E6</f>
        <v>0</v>
      </c>
      <c r="D6" s="1254"/>
      <c r="E6" s="1254"/>
      <c r="F6" s="31"/>
    </row>
    <row r="7" spans="1:8" s="33" customFormat="1" ht="12.6" customHeight="1" x14ac:dyDescent="0.2">
      <c r="A7" s="67" t="s">
        <v>922</v>
      </c>
      <c r="B7" s="34"/>
    </row>
    <row r="8" spans="1:8" s="33" customFormat="1" ht="12.6" customHeight="1" x14ac:dyDescent="0.2">
      <c r="A8" s="67"/>
      <c r="B8" s="34"/>
    </row>
    <row r="9" spans="1:8" s="33" customFormat="1" ht="33.75" customHeight="1" x14ac:dyDescent="0.2">
      <c r="A9" s="1509" t="s">
        <v>449</v>
      </c>
      <c r="B9" s="1509"/>
      <c r="C9" s="1509"/>
      <c r="D9" s="1243"/>
      <c r="E9" s="1243"/>
      <c r="F9" s="69"/>
    </row>
    <row r="10" spans="1:8" x14ac:dyDescent="0.2">
      <c r="A10" s="187"/>
      <c r="B10" s="187"/>
      <c r="C10" s="187"/>
      <c r="D10" s="187"/>
      <c r="E10" s="187"/>
    </row>
    <row r="11" spans="1:8" x14ac:dyDescent="0.2">
      <c r="E11" s="322" t="s">
        <v>59</v>
      </c>
    </row>
    <row r="12" spans="1:8" ht="67.5" customHeight="1" x14ac:dyDescent="0.2">
      <c r="A12" s="1504" t="s">
        <v>1784</v>
      </c>
      <c r="B12" s="1505"/>
      <c r="C12" s="1505"/>
      <c r="D12" s="1505"/>
      <c r="E12" s="673" t="s">
        <v>1038</v>
      </c>
    </row>
    <row r="14" spans="1:8" ht="48.75" customHeight="1" x14ac:dyDescent="0.2">
      <c r="A14" s="1510" t="s">
        <v>1539</v>
      </c>
      <c r="B14" s="1510"/>
      <c r="C14" s="1510"/>
      <c r="D14" s="1510"/>
      <c r="E14" s="1510"/>
    </row>
    <row r="16" spans="1:8" ht="34.5" customHeight="1" x14ac:dyDescent="0.2">
      <c r="A16" s="188" t="s">
        <v>724</v>
      </c>
      <c r="C16" s="1511" t="s">
        <v>1782</v>
      </c>
      <c r="D16" s="1512"/>
      <c r="E16" s="1513"/>
    </row>
    <row r="17" spans="1:16" ht="84.75" customHeight="1" x14ac:dyDescent="0.2">
      <c r="A17" s="189" t="s">
        <v>441</v>
      </c>
      <c r="B17" s="647" t="s">
        <v>1783</v>
      </c>
      <c r="C17" s="863" t="s">
        <v>1327</v>
      </c>
      <c r="D17" s="863" t="s">
        <v>1326</v>
      </c>
      <c r="E17" s="863" t="s">
        <v>482</v>
      </c>
      <c r="F17" s="863" t="s">
        <v>1756</v>
      </c>
    </row>
    <row r="18" spans="1:16" x14ac:dyDescent="0.2">
      <c r="A18" s="673"/>
      <c r="B18" s="191"/>
      <c r="C18" s="866"/>
      <c r="D18" s="866"/>
      <c r="E18" s="866"/>
      <c r="F18" s="864">
        <f>IF(B18=SUM(C18:E18),SUM(C18:E18),"ERROR")</f>
        <v>0</v>
      </c>
    </row>
    <row r="19" spans="1:16" x14ac:dyDescent="0.2">
      <c r="A19" s="673"/>
      <c r="B19" s="191"/>
      <c r="C19" s="866"/>
      <c r="D19" s="866"/>
      <c r="E19" s="866"/>
      <c r="F19" s="864">
        <f>IF(B19=SUM(C19:E19),SUM(C19:E19),"ERROR")</f>
        <v>0</v>
      </c>
      <c r="P19" s="867"/>
    </row>
    <row r="20" spans="1:16" x14ac:dyDescent="0.2">
      <c r="A20" s="673"/>
      <c r="B20" s="191"/>
      <c r="C20" s="866"/>
      <c r="D20" s="866"/>
      <c r="E20" s="866"/>
      <c r="F20" s="864">
        <f t="shared" ref="F20:F25" si="0">IF(B20=SUM(C20:E20),SUM(C20:E20),"ERROR")</f>
        <v>0</v>
      </c>
    </row>
    <row r="21" spans="1:16" x14ac:dyDescent="0.2">
      <c r="A21" s="673"/>
      <c r="B21" s="191"/>
      <c r="C21" s="866"/>
      <c r="D21" s="866"/>
      <c r="E21" s="866"/>
      <c r="F21" s="864">
        <f t="shared" si="0"/>
        <v>0</v>
      </c>
    </row>
    <row r="22" spans="1:16" x14ac:dyDescent="0.2">
      <c r="A22" s="673"/>
      <c r="B22" s="191"/>
      <c r="C22" s="866"/>
      <c r="D22" s="866"/>
      <c r="E22" s="866"/>
      <c r="F22" s="864">
        <f t="shared" si="0"/>
        <v>0</v>
      </c>
    </row>
    <row r="23" spans="1:16" x14ac:dyDescent="0.2">
      <c r="A23" s="673"/>
      <c r="B23" s="191"/>
      <c r="C23" s="866"/>
      <c r="D23" s="866"/>
      <c r="E23" s="866"/>
      <c r="F23" s="864">
        <f t="shared" si="0"/>
        <v>0</v>
      </c>
    </row>
    <row r="24" spans="1:16" x14ac:dyDescent="0.2">
      <c r="A24" s="673"/>
      <c r="B24" s="191"/>
      <c r="C24" s="866"/>
      <c r="D24" s="866"/>
      <c r="E24" s="866"/>
      <c r="F24" s="864">
        <f t="shared" si="0"/>
        <v>0</v>
      </c>
    </row>
    <row r="25" spans="1:16" x14ac:dyDescent="0.2">
      <c r="A25" s="673"/>
      <c r="B25" s="191"/>
      <c r="C25" s="866"/>
      <c r="D25" s="866"/>
      <c r="E25" s="866"/>
      <c r="F25" s="864">
        <f t="shared" si="0"/>
        <v>0</v>
      </c>
    </row>
    <row r="29" spans="1:16" ht="26.25" customHeight="1" x14ac:dyDescent="0.2">
      <c r="A29" s="1504" t="s">
        <v>932</v>
      </c>
      <c r="B29" s="1505"/>
      <c r="C29" s="1505"/>
      <c r="D29" s="1505"/>
      <c r="E29" s="1505"/>
    </row>
    <row r="30" spans="1:16" ht="258.75" customHeight="1" x14ac:dyDescent="0.2">
      <c r="A30" s="1506"/>
      <c r="B30" s="1507"/>
      <c r="C30" s="1507"/>
      <c r="D30" s="1507"/>
      <c r="E30" s="1508"/>
    </row>
    <row r="31" spans="1:16" x14ac:dyDescent="0.2">
      <c r="A31" s="190"/>
      <c r="B31" s="190"/>
      <c r="C31" s="190"/>
      <c r="D31" s="190"/>
      <c r="E31" s="190"/>
    </row>
    <row r="32" spans="1:16" x14ac:dyDescent="0.2">
      <c r="A32" s="190"/>
      <c r="B32" s="190"/>
      <c r="C32" s="190"/>
      <c r="D32" s="190"/>
      <c r="E32" s="190"/>
    </row>
    <row r="33" spans="1:5" x14ac:dyDescent="0.2">
      <c r="A33" s="190"/>
      <c r="B33" s="190"/>
      <c r="C33" s="190"/>
      <c r="D33" s="190"/>
      <c r="E33" s="190"/>
    </row>
    <row r="34" spans="1:5" x14ac:dyDescent="0.2">
      <c r="A34" s="190"/>
      <c r="B34" s="190"/>
      <c r="C34" s="190"/>
      <c r="D34" s="190"/>
      <c r="E34" s="190"/>
    </row>
    <row r="35" spans="1:5" x14ac:dyDescent="0.2">
      <c r="A35" s="190"/>
      <c r="B35" s="190"/>
      <c r="C35" s="190"/>
      <c r="D35" s="190"/>
      <c r="E35" s="190"/>
    </row>
    <row r="36" spans="1:5" x14ac:dyDescent="0.2">
      <c r="A36" s="190"/>
      <c r="B36" s="190"/>
      <c r="C36" s="190"/>
      <c r="D36" s="190"/>
      <c r="E36" s="190"/>
    </row>
    <row r="37" spans="1:5" hidden="1" x14ac:dyDescent="0.2">
      <c r="A37" s="190"/>
      <c r="B37" s="190"/>
      <c r="C37" s="190"/>
      <c r="D37" s="190"/>
      <c r="E37" s="190" t="s">
        <v>115</v>
      </c>
    </row>
    <row r="38" spans="1:5" hidden="1" x14ac:dyDescent="0.2">
      <c r="E38" s="808" t="s">
        <v>687</v>
      </c>
    </row>
    <row r="39" spans="1:5" hidden="1" x14ac:dyDescent="0.2">
      <c r="E39" s="808" t="s">
        <v>688</v>
      </c>
    </row>
    <row r="40" spans="1:5" hidden="1" x14ac:dyDescent="0.2"/>
  </sheetData>
  <sheetProtection algorithmName="SHA-512" hashValue="2ye2RmT7f0lOLuSlwBwkQHomtoyD5R444015sEAStRFxFGi3UV/bsNvlAH0qHZpglqTf8/M5ADr1ykc3K/uQzA==" saltValue="IrPiqrzF9zmti9eAATv/NQ==" spinCount="100000" sheet="1" objects="1" scenarios="1"/>
  <mergeCells count="12">
    <mergeCell ref="C1:E1"/>
    <mergeCell ref="A12:D12"/>
    <mergeCell ref="A30:E30"/>
    <mergeCell ref="A29:E29"/>
    <mergeCell ref="C2:E2"/>
    <mergeCell ref="C3:E3"/>
    <mergeCell ref="C4:E4"/>
    <mergeCell ref="C5:E5"/>
    <mergeCell ref="C6:E6"/>
    <mergeCell ref="A9:E9"/>
    <mergeCell ref="A14:E14"/>
    <mergeCell ref="C16:E16"/>
  </mergeCells>
  <phoneticPr fontId="12" type="noConversion"/>
  <conditionalFormatting sqref="C16:C17">
    <cfRule type="cellIs" dxfId="37" priority="2" operator="equal">
      <formula>"Answer Required"</formula>
    </cfRule>
  </conditionalFormatting>
  <conditionalFormatting sqref="C17:F17">
    <cfRule type="cellIs" dxfId="36" priority="1" operator="equal">
      <formula>"Answer Required"</formula>
    </cfRule>
  </conditionalFormatting>
  <conditionalFormatting sqref="E12">
    <cfRule type="cellIs" dxfId="35" priority="4" operator="equal">
      <formula>"Answer Required"</formula>
    </cfRule>
  </conditionalFormatting>
  <dataValidations count="3">
    <dataValidation type="whole" allowBlank="1" showInputMessage="1" showErrorMessage="1" error="Enter whole number." sqref="B18:E25" xr:uid="{00000000-0002-0000-1000-000000000000}">
      <formula1>-1000000000000000</formula1>
      <formula2>10000000000000000</formula2>
    </dataValidation>
    <dataValidation type="list" allowBlank="1" showInputMessage="1" showErrorMessage="1" error="Enter yes or no._x000a_" sqref="E12" xr:uid="{00000000-0002-0000-1000-000001000000}">
      <formula1>$E$38:$E$39</formula1>
    </dataValidation>
    <dataValidation type="whole" allowBlank="1" showInputMessage="1" showErrorMessage="1" error="Enter a 3-digit agency control number." sqref="C1:E1" xr:uid="{00000000-0002-0000-1000-000002000000}">
      <formula1>100</formula1>
      <formula2>999</formula2>
    </dataValidation>
  </dataValidations>
  <pageMargins left="0.7" right="0.7" top="1" bottom="0.75" header="0.3" footer="0.3"/>
  <pageSetup scale="76" orientation="portrait" r:id="rId1"/>
  <headerFooter alignWithMargins="0">
    <oddHeader>&amp;C&amp;"Arial,Bold"&amp;11Attachment HE-10
Financial Statement Template
&amp;A</oddHeader>
    <oddFooter>&amp;L&amp;"Arial,Regular"&amp;F \ &amp;A&amp;R&amp;"Arial,Regular"Page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24"/>
  <sheetViews>
    <sheetView showGridLines="0" zoomScale="90" zoomScaleNormal="90" zoomScaleSheetLayoutView="75" workbookViewId="0"/>
  </sheetViews>
  <sheetFormatPr defaultColWidth="10.6640625" defaultRowHeight="12.75" x14ac:dyDescent="0.2"/>
  <cols>
    <col min="1" max="1" width="22.83203125" style="167" customWidth="1"/>
    <col min="2" max="2" width="28.6640625" style="168" customWidth="1"/>
    <col min="3" max="3" width="26.1640625" style="169" customWidth="1"/>
    <col min="4" max="4" width="26.5" customWidth="1"/>
    <col min="5" max="5" width="3.6640625" style="167" customWidth="1"/>
    <col min="6" max="6" width="26.83203125" style="167" customWidth="1"/>
    <col min="7" max="7" width="10.6640625" style="167" customWidth="1"/>
    <col min="8" max="9" width="16.83203125" style="167" customWidth="1"/>
    <col min="10" max="16384" width="10.6640625" style="167"/>
  </cols>
  <sheetData>
    <row r="1" spans="1:6" x14ac:dyDescent="0.2">
      <c r="A1" s="824" t="s">
        <v>1155</v>
      </c>
      <c r="C1" s="1525">
        <f>FST!E1</f>
        <v>0</v>
      </c>
      <c r="D1" s="1217"/>
      <c r="E1" s="1217"/>
      <c r="F1" s="1217"/>
    </row>
    <row r="2" spans="1:6" s="33" customFormat="1" ht="37.5" customHeight="1" x14ac:dyDescent="0.2">
      <c r="A2" s="824" t="s">
        <v>770</v>
      </c>
      <c r="B2" s="31"/>
      <c r="C2" s="1525" t="str">
        <f>FST!E2</f>
        <v/>
      </c>
      <c r="D2" s="1217"/>
      <c r="E2" s="1217"/>
      <c r="F2" s="1217"/>
    </row>
    <row r="3" spans="1:6" s="33" customFormat="1" ht="13.5" customHeight="1" x14ac:dyDescent="0.2">
      <c r="A3" s="824" t="s">
        <v>771</v>
      </c>
      <c r="B3" s="31"/>
      <c r="C3" s="1526">
        <f>FST!E3</f>
        <v>0</v>
      </c>
      <c r="D3" s="1218"/>
      <c r="E3" s="1218"/>
      <c r="F3" s="1218"/>
    </row>
    <row r="4" spans="1:6" s="33" customFormat="1" ht="12.6" customHeight="1" x14ac:dyDescent="0.2">
      <c r="A4" s="824" t="s">
        <v>773</v>
      </c>
      <c r="B4" s="31"/>
      <c r="C4" s="1288">
        <f>FST!E4</f>
        <v>0</v>
      </c>
      <c r="D4" s="1219"/>
      <c r="E4" s="1219"/>
      <c r="F4" s="1219"/>
    </row>
    <row r="5" spans="1:6" s="33" customFormat="1" ht="12.6" customHeight="1" x14ac:dyDescent="0.2">
      <c r="A5" s="825" t="s">
        <v>774</v>
      </c>
      <c r="B5" s="31"/>
      <c r="C5" s="1526">
        <f>FST!E5</f>
        <v>0</v>
      </c>
      <c r="D5" s="1218"/>
      <c r="E5" s="1218"/>
      <c r="F5" s="1218"/>
    </row>
    <row r="6" spans="1:6" s="33" customFormat="1" ht="12.6" customHeight="1" x14ac:dyDescent="0.2">
      <c r="A6" s="826" t="s">
        <v>775</v>
      </c>
      <c r="B6" s="31"/>
      <c r="C6" s="1277">
        <f>FST!E6</f>
        <v>0</v>
      </c>
      <c r="D6" s="1519"/>
      <c r="E6" s="1519"/>
      <c r="F6" s="1519"/>
    </row>
    <row r="7" spans="1:6" s="33" customFormat="1" ht="12.6" customHeight="1" x14ac:dyDescent="0.2">
      <c r="A7" s="67" t="s">
        <v>886</v>
      </c>
      <c r="B7" s="34"/>
    </row>
    <row r="8" spans="1:6" s="33" customFormat="1" ht="12.6" customHeight="1" x14ac:dyDescent="0.2">
      <c r="A8" s="67"/>
      <c r="B8" s="34"/>
    </row>
    <row r="9" spans="1:6" s="33" customFormat="1" ht="12.6" customHeight="1" x14ac:dyDescent="0.2">
      <c r="A9" s="67"/>
      <c r="B9" s="34"/>
    </row>
    <row r="10" spans="1:6" s="33" customFormat="1" ht="26.25" customHeight="1" x14ac:dyDescent="0.2">
      <c r="A10" s="1263" t="s">
        <v>449</v>
      </c>
      <c r="B10" s="1263"/>
      <c r="C10" s="1263"/>
      <c r="D10" s="1162"/>
      <c r="E10" s="1162"/>
      <c r="F10" s="1162"/>
    </row>
    <row r="11" spans="1:6" s="33" customFormat="1" ht="12.6" customHeight="1" x14ac:dyDescent="0.2">
      <c r="A11" s="249"/>
      <c r="B11" s="35"/>
      <c r="C11" s="36"/>
      <c r="D11" s="36"/>
      <c r="E11" s="36"/>
      <c r="F11" s="36"/>
    </row>
    <row r="13" spans="1:6" x14ac:dyDescent="0.2">
      <c r="A13" s="829" t="s">
        <v>884</v>
      </c>
      <c r="B13" s="58"/>
      <c r="C13" s="58"/>
      <c r="D13" s="167"/>
    </row>
    <row r="14" spans="1:6" x14ac:dyDescent="0.2">
      <c r="A14" s="58"/>
      <c r="B14" s="58"/>
      <c r="C14" s="59" t="s">
        <v>8</v>
      </c>
      <c r="D14" s="442" t="s">
        <v>568</v>
      </c>
    </row>
    <row r="15" spans="1:6" ht="28.5" customHeight="1" x14ac:dyDescent="0.2">
      <c r="A15" s="1196" t="s">
        <v>1017</v>
      </c>
      <c r="B15" s="1245"/>
      <c r="C15" s="446">
        <f>SUM(FST!G101,FST!G115)</f>
        <v>0</v>
      </c>
      <c r="D15" s="445">
        <f>SUM('Elimination Entries to FST'!H102,'Elimination Entries to FST'!H116)</f>
        <v>0</v>
      </c>
    </row>
    <row r="16" spans="1:6" ht="12" x14ac:dyDescent="0.2">
      <c r="A16" s="213"/>
      <c r="B16" s="837"/>
      <c r="C16" s="328"/>
      <c r="D16" s="441"/>
    </row>
    <row r="17" spans="1:9" ht="12" x14ac:dyDescent="0.2">
      <c r="A17" s="10" t="s">
        <v>570</v>
      </c>
      <c r="B17" s="837"/>
      <c r="C17" s="328"/>
      <c r="D17" s="441"/>
    </row>
    <row r="18" spans="1:9" ht="12" x14ac:dyDescent="0.2">
      <c r="A18" s="2" t="s">
        <v>1512</v>
      </c>
      <c r="B18" s="837"/>
      <c r="C18" s="446">
        <f>-SUM(FST!G159,FST!G175)</f>
        <v>0</v>
      </c>
      <c r="D18" s="445">
        <f>-SUM('Elimination Entries to FST'!H160,'Elimination Entries to FST'!H176)</f>
        <v>0</v>
      </c>
    </row>
    <row r="19" spans="1:9" ht="24" customHeight="1" x14ac:dyDescent="0.2">
      <c r="A19" s="1171" t="s">
        <v>1611</v>
      </c>
      <c r="B19" s="1523"/>
      <c r="C19" s="446">
        <f>-SUM(FST!G160,FST!G176)</f>
        <v>0</v>
      </c>
      <c r="D19" s="445">
        <f>-SUM('Elimination Entries to FST'!H161,'Elimination Entries to FST'!H177)</f>
        <v>0</v>
      </c>
    </row>
    <row r="20" spans="1:9" ht="24" customHeight="1" x14ac:dyDescent="0.2">
      <c r="A20" s="1521" t="s">
        <v>1572</v>
      </c>
      <c r="B20" s="1522"/>
      <c r="C20" s="446">
        <f>-SUM(FST!G161,FST!G177)</f>
        <v>0</v>
      </c>
      <c r="D20" s="445">
        <f>-SUM('Elimination Entries to FST'!H162,'Elimination Entries to FST'!H178)</f>
        <v>0</v>
      </c>
    </row>
    <row r="21" spans="1:9" ht="12" x14ac:dyDescent="0.2">
      <c r="A21" s="10" t="s">
        <v>571</v>
      </c>
      <c r="B21" s="837"/>
      <c r="C21" s="446">
        <f>-SUM(FST!G162,FST!G178)</f>
        <v>0</v>
      </c>
      <c r="D21" s="445">
        <f>-SUM('Elimination Entries to FST'!H163,'Elimination Entries to FST'!H179)</f>
        <v>0</v>
      </c>
      <c r="H21" s="1533"/>
      <c r="I21" s="1533"/>
    </row>
    <row r="22" spans="1:9" ht="12" x14ac:dyDescent="0.2">
      <c r="A22" s="10" t="s">
        <v>572</v>
      </c>
      <c r="B22" s="837"/>
      <c r="C22" s="446">
        <f>-SUM(FST!G163,FST!G179)</f>
        <v>0</v>
      </c>
      <c r="D22" s="445">
        <f>-SUM('Elimination Entries to FST'!H164,'Elimination Entries to FST'!H180)</f>
        <v>0</v>
      </c>
    </row>
    <row r="23" spans="1:9" ht="12" x14ac:dyDescent="0.2">
      <c r="A23" s="10" t="s">
        <v>729</v>
      </c>
      <c r="B23" s="837"/>
      <c r="C23" s="446">
        <f>-SUM(FST!G164,FST!G180)</f>
        <v>0</v>
      </c>
      <c r="D23" s="445">
        <f>-SUM('Elimination Entries to FST'!H165,'Elimination Entries to FST'!H181)</f>
        <v>0</v>
      </c>
    </row>
    <row r="24" spans="1:9" ht="12" x14ac:dyDescent="0.2">
      <c r="A24" s="10" t="s">
        <v>573</v>
      </c>
      <c r="B24" s="837"/>
      <c r="C24" s="446">
        <f>-SUM(FST!G165,FST!G181)</f>
        <v>0</v>
      </c>
      <c r="D24" s="445">
        <f>-SUM('Elimination Entries to FST'!H166,'Elimination Entries to FST'!H182)</f>
        <v>0</v>
      </c>
    </row>
    <row r="25" spans="1:9" ht="24" customHeight="1" x14ac:dyDescent="0.2">
      <c r="A25" s="1171" t="s">
        <v>1674</v>
      </c>
      <c r="B25" s="1523"/>
      <c r="C25" s="446">
        <f>-SUM(FST!G166,FST!G182)</f>
        <v>0</v>
      </c>
      <c r="D25" s="445">
        <f>-SUM('Elimination Entries to FST'!H167,'Elimination Entries to FST'!H183)</f>
        <v>0</v>
      </c>
    </row>
    <row r="26" spans="1:9" ht="16.5" customHeight="1" x14ac:dyDescent="0.2">
      <c r="A26" s="10" t="s">
        <v>574</v>
      </c>
      <c r="B26" s="837"/>
      <c r="C26" s="443"/>
      <c r="D26" s="441"/>
    </row>
    <row r="27" spans="1:9" ht="47.25" customHeight="1" x14ac:dyDescent="0.2">
      <c r="A27" s="1516" t="s">
        <v>1015</v>
      </c>
      <c r="B27" s="1517"/>
      <c r="C27" s="72"/>
      <c r="D27" s="449"/>
      <c r="F27" s="846" t="s">
        <v>1240</v>
      </c>
      <c r="H27" s="845"/>
      <c r="I27" s="694"/>
    </row>
    <row r="28" spans="1:9" ht="51.75" customHeight="1" x14ac:dyDescent="0.2">
      <c r="A28" s="1518" t="s">
        <v>105</v>
      </c>
      <c r="B28" s="1517"/>
      <c r="C28" s="72"/>
      <c r="D28" s="449"/>
      <c r="F28" s="536" t="str">
        <f>IF(AND(C28="",D28=""),"N/A","Answer Required")</f>
        <v>N/A</v>
      </c>
      <c r="G28" s="1524" t="s">
        <v>1675</v>
      </c>
      <c r="H28" s="1524"/>
      <c r="I28" s="694"/>
    </row>
    <row r="29" spans="1:9" ht="62.25" customHeight="1" x14ac:dyDescent="0.2">
      <c r="A29" s="1536" t="s">
        <v>953</v>
      </c>
      <c r="B29" s="1537"/>
      <c r="C29" s="443"/>
      <c r="D29" s="486"/>
      <c r="G29" s="1524"/>
      <c r="H29" s="1524"/>
      <c r="I29" s="695"/>
    </row>
    <row r="30" spans="1:9" ht="38.25" customHeight="1" x14ac:dyDescent="0.2">
      <c r="A30" s="1514"/>
      <c r="B30" s="1520"/>
      <c r="C30" s="72"/>
      <c r="D30" s="449"/>
      <c r="H30" s="445">
        <f>'TAB 7, Miscellaneous'!B333</f>
        <v>0</v>
      </c>
      <c r="I30" s="441"/>
    </row>
    <row r="31" spans="1:9" ht="18" customHeight="1" x14ac:dyDescent="0.2">
      <c r="A31" s="397" t="s">
        <v>55</v>
      </c>
      <c r="B31" s="474"/>
      <c r="C31" s="443"/>
      <c r="D31" s="486"/>
    </row>
    <row r="32" spans="1:9" ht="28.5" customHeight="1" x14ac:dyDescent="0.2">
      <c r="A32" s="1538"/>
      <c r="B32" s="1539"/>
      <c r="C32" s="472"/>
      <c r="D32" s="473"/>
    </row>
    <row r="33" spans="1:9" ht="28.5" customHeight="1" x14ac:dyDescent="0.2">
      <c r="A33" s="1514"/>
      <c r="B33" s="1515"/>
      <c r="C33" s="72"/>
      <c r="D33" s="449"/>
    </row>
    <row r="34" spans="1:9" ht="41.25" customHeight="1" x14ac:dyDescent="0.2">
      <c r="A34" s="1514"/>
      <c r="B34" s="1515"/>
      <c r="C34" s="72"/>
      <c r="D34" s="449"/>
      <c r="H34" s="1534" t="s">
        <v>177</v>
      </c>
      <c r="I34" s="1535"/>
    </row>
    <row r="35" spans="1:9" ht="22.5" customHeight="1" x14ac:dyDescent="0.2">
      <c r="A35" s="10" t="s">
        <v>9</v>
      </c>
      <c r="B35" s="64"/>
      <c r="C35" s="328"/>
      <c r="D35" s="441"/>
      <c r="H35" s="450" t="s">
        <v>8</v>
      </c>
      <c r="I35" s="450" t="s">
        <v>609</v>
      </c>
    </row>
    <row r="36" spans="1:9" ht="28.5" customHeight="1" x14ac:dyDescent="0.2">
      <c r="A36" s="1528" t="s">
        <v>603</v>
      </c>
      <c r="B36" s="1529"/>
      <c r="C36" s="72"/>
      <c r="D36" s="449"/>
      <c r="H36" s="441">
        <f>FST!G146</f>
        <v>0</v>
      </c>
      <c r="I36" s="441">
        <f>'Elimination Entries to FST'!H147</f>
        <v>0</v>
      </c>
    </row>
    <row r="37" spans="1:9" ht="51.75" customHeight="1" x14ac:dyDescent="0.2">
      <c r="A37" s="1530" t="s">
        <v>954</v>
      </c>
      <c r="B37" s="1531"/>
      <c r="C37" s="72"/>
      <c r="D37" s="449"/>
      <c r="G37" s="1524"/>
      <c r="H37" s="1524"/>
      <c r="I37" s="441"/>
    </row>
    <row r="38" spans="1:9" ht="62.25" customHeight="1" x14ac:dyDescent="0.2">
      <c r="A38" s="1165" t="s">
        <v>955</v>
      </c>
      <c r="B38" s="1532"/>
      <c r="C38" s="443"/>
      <c r="D38" s="486"/>
      <c r="G38" s="1524" t="s">
        <v>1676</v>
      </c>
      <c r="H38" s="1524"/>
      <c r="I38" s="845"/>
    </row>
    <row r="39" spans="1:9" ht="38.25" customHeight="1" x14ac:dyDescent="0.2">
      <c r="A39" s="1514"/>
      <c r="B39" s="1520"/>
      <c r="C39" s="72"/>
      <c r="D39" s="449"/>
      <c r="H39" s="445">
        <f>'TAB 7, Miscellaneous'!B363</f>
        <v>0</v>
      </c>
      <c r="I39" s="441"/>
    </row>
    <row r="40" spans="1:9" ht="28.5" customHeight="1" x14ac:dyDescent="0.2">
      <c r="A40" s="397" t="s">
        <v>576</v>
      </c>
      <c r="B40" s="964"/>
      <c r="C40" s="838"/>
      <c r="D40" s="486"/>
    </row>
    <row r="41" spans="1:9" ht="28.5" customHeight="1" x14ac:dyDescent="0.2">
      <c r="A41" s="1514"/>
      <c r="B41" s="1520"/>
      <c r="C41" s="72"/>
      <c r="D41" s="449"/>
    </row>
    <row r="42" spans="1:9" ht="28.5" customHeight="1" x14ac:dyDescent="0.2">
      <c r="A42" s="1514"/>
      <c r="B42" s="1515"/>
      <c r="C42" s="72"/>
      <c r="D42" s="449"/>
    </row>
    <row r="43" spans="1:9" ht="28.5" customHeight="1" x14ac:dyDescent="0.2">
      <c r="A43" s="1514"/>
      <c r="B43" s="1515"/>
      <c r="C43" s="72"/>
      <c r="D43" s="449"/>
    </row>
    <row r="44" spans="1:9" ht="12" x14ac:dyDescent="0.2">
      <c r="A44" s="10"/>
      <c r="B44" s="837"/>
      <c r="C44" s="328"/>
      <c r="D44" s="441"/>
    </row>
    <row r="45" spans="1:9" ht="24.75" thickBot="1" x14ac:dyDescent="0.25">
      <c r="A45" s="896" t="s">
        <v>885</v>
      </c>
      <c r="B45" s="444"/>
      <c r="C45" s="447">
        <f>IF(SUM(C15,C18:C25,C27:C34,C36:C43)=FST!G197,SUM(C15,C18:C25,C27:C34,C36:C43),"Error")</f>
        <v>0</v>
      </c>
      <c r="D45" s="447">
        <f>IF(SUM(D15,D18:D25,D27:D34,D36:D43)='Elimination Entries to FST'!H198,SUM(D15,D18:D25,D27:D34,D36:D43),"Error")</f>
        <v>0</v>
      </c>
    </row>
    <row r="46" spans="1:9" thickTop="1" x14ac:dyDescent="0.2">
      <c r="B46" s="841" t="s">
        <v>819</v>
      </c>
      <c r="C46" s="839">
        <f>SUM(C15,C18:C25,C27:C34,C36:C43)</f>
        <v>0</v>
      </c>
      <c r="D46" s="839">
        <f>SUM(D15,D18:D25,D27:D34,D36:D43)</f>
        <v>0</v>
      </c>
    </row>
    <row r="47" spans="1:9" ht="12" x14ac:dyDescent="0.2">
      <c r="B47" s="841" t="s">
        <v>695</v>
      </c>
      <c r="C47" s="839">
        <f>FST!G197-'TAB 9, Net Inv in Cap Assets'!C46</f>
        <v>0</v>
      </c>
      <c r="D47" s="839">
        <f>'Elimination Entries to FST'!H198-D46</f>
        <v>0</v>
      </c>
    </row>
    <row r="48" spans="1:9" ht="12" x14ac:dyDescent="0.2">
      <c r="D48" s="167"/>
    </row>
    <row r="49" spans="1:6" ht="12" x14ac:dyDescent="0.2">
      <c r="D49" s="167"/>
    </row>
    <row r="50" spans="1:6" ht="12" x14ac:dyDescent="0.2">
      <c r="D50" s="167"/>
    </row>
    <row r="51" spans="1:6" ht="12" x14ac:dyDescent="0.2">
      <c r="D51" s="167"/>
    </row>
    <row r="52" spans="1:6" ht="12" x14ac:dyDescent="0.2">
      <c r="D52" s="167"/>
    </row>
    <row r="53" spans="1:6" ht="12" x14ac:dyDescent="0.2">
      <c r="D53" s="167"/>
    </row>
    <row r="54" spans="1:6" ht="12" x14ac:dyDescent="0.2">
      <c r="D54" s="167"/>
    </row>
    <row r="55" spans="1:6" ht="12" x14ac:dyDescent="0.2">
      <c r="D55" s="167"/>
    </row>
    <row r="56" spans="1:6" ht="12" x14ac:dyDescent="0.2">
      <c r="D56" s="167"/>
    </row>
    <row r="57" spans="1:6" ht="30" customHeight="1" x14ac:dyDescent="0.2">
      <c r="A57" s="1527" t="s">
        <v>1016</v>
      </c>
      <c r="B57" s="1527"/>
      <c r="C57" s="1527"/>
      <c r="D57" s="1527"/>
    </row>
    <row r="58" spans="1:6" ht="12" hidden="1" x14ac:dyDescent="0.2">
      <c r="D58" s="167"/>
      <c r="F58" s="167" t="s">
        <v>375</v>
      </c>
    </row>
    <row r="59" spans="1:6" ht="12" hidden="1" x14ac:dyDescent="0.2">
      <c r="D59" s="167"/>
      <c r="F59" s="167" t="s">
        <v>687</v>
      </c>
    </row>
    <row r="60" spans="1:6" ht="12" hidden="1" x14ac:dyDescent="0.2">
      <c r="D60" s="167"/>
      <c r="F60" s="167" t="s">
        <v>688</v>
      </c>
    </row>
    <row r="61" spans="1:6" ht="12" hidden="1" x14ac:dyDescent="0.2">
      <c r="D61" s="167"/>
      <c r="F61" s="167" t="s">
        <v>339</v>
      </c>
    </row>
    <row r="62" spans="1:6" ht="12" x14ac:dyDescent="0.2">
      <c r="D62" s="167"/>
    </row>
    <row r="63" spans="1:6" ht="12" x14ac:dyDescent="0.2">
      <c r="D63" s="167"/>
    </row>
    <row r="64" spans="1:6" ht="12" x14ac:dyDescent="0.2">
      <c r="D64" s="167"/>
    </row>
    <row r="65" spans="4:4" ht="12" x14ac:dyDescent="0.2">
      <c r="D65" s="167"/>
    </row>
    <row r="66" spans="4:4" ht="12" x14ac:dyDescent="0.2">
      <c r="D66" s="167"/>
    </row>
    <row r="67" spans="4:4" ht="12" x14ac:dyDescent="0.2">
      <c r="D67" s="167"/>
    </row>
    <row r="68" spans="4:4" ht="12" x14ac:dyDescent="0.2">
      <c r="D68" s="167"/>
    </row>
    <row r="69" spans="4:4" ht="12" x14ac:dyDescent="0.2">
      <c r="D69" s="167"/>
    </row>
    <row r="70" spans="4:4" ht="12" x14ac:dyDescent="0.2">
      <c r="D70" s="167"/>
    </row>
    <row r="71" spans="4:4" ht="12" x14ac:dyDescent="0.2">
      <c r="D71" s="167"/>
    </row>
    <row r="72" spans="4:4" ht="12" x14ac:dyDescent="0.2">
      <c r="D72" s="167"/>
    </row>
    <row r="73" spans="4:4" ht="12" x14ac:dyDescent="0.2">
      <c r="D73" s="167"/>
    </row>
    <row r="74" spans="4:4" ht="12" x14ac:dyDescent="0.2">
      <c r="D74" s="167"/>
    </row>
    <row r="75" spans="4:4" ht="12" x14ac:dyDescent="0.2">
      <c r="D75" s="167"/>
    </row>
    <row r="76" spans="4:4" ht="12" x14ac:dyDescent="0.2">
      <c r="D76" s="167"/>
    </row>
    <row r="77" spans="4:4" ht="12" x14ac:dyDescent="0.2">
      <c r="D77" s="167"/>
    </row>
    <row r="78" spans="4:4" ht="12" x14ac:dyDescent="0.2">
      <c r="D78" s="167"/>
    </row>
    <row r="79" spans="4:4" ht="12" x14ac:dyDescent="0.2">
      <c r="D79" s="167"/>
    </row>
    <row r="80" spans="4:4" ht="12" x14ac:dyDescent="0.2">
      <c r="D80" s="167"/>
    </row>
    <row r="81" spans="4:4" ht="12" x14ac:dyDescent="0.2">
      <c r="D81" s="167"/>
    </row>
    <row r="82" spans="4:4" ht="12" x14ac:dyDescent="0.2">
      <c r="D82" s="167"/>
    </row>
    <row r="83" spans="4:4" ht="12" x14ac:dyDescent="0.2">
      <c r="D83" s="167"/>
    </row>
    <row r="84" spans="4:4" ht="12" x14ac:dyDescent="0.2">
      <c r="D84" s="167"/>
    </row>
    <row r="85" spans="4:4" ht="12" x14ac:dyDescent="0.2">
      <c r="D85" s="167"/>
    </row>
    <row r="86" spans="4:4" ht="12" x14ac:dyDescent="0.2">
      <c r="D86" s="167"/>
    </row>
    <row r="87" spans="4:4" ht="12" x14ac:dyDescent="0.2">
      <c r="D87" s="167"/>
    </row>
    <row r="88" spans="4:4" ht="12" x14ac:dyDescent="0.2">
      <c r="D88" s="167"/>
    </row>
    <row r="89" spans="4:4" ht="12" x14ac:dyDescent="0.2">
      <c r="D89" s="167"/>
    </row>
    <row r="90" spans="4:4" ht="12" x14ac:dyDescent="0.2">
      <c r="D90" s="167"/>
    </row>
    <row r="91" spans="4:4" ht="12" x14ac:dyDescent="0.2">
      <c r="D91" s="167"/>
    </row>
    <row r="92" spans="4:4" ht="12" x14ac:dyDescent="0.2">
      <c r="D92" s="167"/>
    </row>
    <row r="93" spans="4:4" ht="12" x14ac:dyDescent="0.2">
      <c r="D93" s="167"/>
    </row>
    <row r="94" spans="4:4" ht="12" x14ac:dyDescent="0.2">
      <c r="D94" s="167"/>
    </row>
    <row r="95" spans="4:4" ht="12" x14ac:dyDescent="0.2">
      <c r="D95" s="167"/>
    </row>
    <row r="96" spans="4:4" ht="12" x14ac:dyDescent="0.2">
      <c r="D96" s="167"/>
    </row>
    <row r="97" spans="4:4" ht="12" x14ac:dyDescent="0.2">
      <c r="D97" s="167"/>
    </row>
    <row r="98" spans="4:4" ht="12" x14ac:dyDescent="0.2">
      <c r="D98" s="167"/>
    </row>
    <row r="99" spans="4:4" ht="12" x14ac:dyDescent="0.2">
      <c r="D99" s="167"/>
    </row>
    <row r="100" spans="4:4" ht="12" x14ac:dyDescent="0.2">
      <c r="D100" s="167"/>
    </row>
    <row r="101" spans="4:4" ht="12" x14ac:dyDescent="0.2">
      <c r="D101" s="167"/>
    </row>
    <row r="102" spans="4:4" ht="12" x14ac:dyDescent="0.2">
      <c r="D102" s="167"/>
    </row>
    <row r="103" spans="4:4" ht="12" x14ac:dyDescent="0.2">
      <c r="D103" s="167"/>
    </row>
    <row r="104" spans="4:4" ht="12" x14ac:dyDescent="0.2">
      <c r="D104" s="167"/>
    </row>
    <row r="105" spans="4:4" ht="12" x14ac:dyDescent="0.2">
      <c r="D105" s="167"/>
    </row>
    <row r="106" spans="4:4" ht="12" x14ac:dyDescent="0.2">
      <c r="D106" s="167"/>
    </row>
    <row r="107" spans="4:4" ht="12" x14ac:dyDescent="0.2">
      <c r="D107" s="167"/>
    </row>
    <row r="108" spans="4:4" ht="12" x14ac:dyDescent="0.2">
      <c r="D108" s="167"/>
    </row>
    <row r="109" spans="4:4" ht="12" x14ac:dyDescent="0.2">
      <c r="D109" s="167"/>
    </row>
    <row r="110" spans="4:4" ht="12" x14ac:dyDescent="0.2">
      <c r="D110" s="167"/>
    </row>
    <row r="111" spans="4:4" ht="12" x14ac:dyDescent="0.2">
      <c r="D111" s="167"/>
    </row>
    <row r="112" spans="4:4" ht="12" x14ac:dyDescent="0.2">
      <c r="D112" s="167"/>
    </row>
    <row r="113" spans="4:4" ht="12" x14ac:dyDescent="0.2">
      <c r="D113" s="167"/>
    </row>
    <row r="114" spans="4:4" ht="12" x14ac:dyDescent="0.2">
      <c r="D114" s="167"/>
    </row>
    <row r="115" spans="4:4" ht="12" x14ac:dyDescent="0.2">
      <c r="D115" s="167"/>
    </row>
    <row r="116" spans="4:4" ht="12" x14ac:dyDescent="0.2">
      <c r="D116" s="167"/>
    </row>
    <row r="117" spans="4:4" ht="12" x14ac:dyDescent="0.2">
      <c r="D117" s="167"/>
    </row>
    <row r="118" spans="4:4" ht="12" x14ac:dyDescent="0.2">
      <c r="D118" s="167"/>
    </row>
    <row r="119" spans="4:4" ht="12" x14ac:dyDescent="0.2">
      <c r="D119" s="167"/>
    </row>
    <row r="120" spans="4:4" ht="12" x14ac:dyDescent="0.2">
      <c r="D120" s="167"/>
    </row>
    <row r="121" spans="4:4" ht="12" x14ac:dyDescent="0.2">
      <c r="D121" s="167"/>
    </row>
    <row r="122" spans="4:4" ht="12" x14ac:dyDescent="0.2">
      <c r="D122" s="167"/>
    </row>
    <row r="123" spans="4:4" ht="12" x14ac:dyDescent="0.2">
      <c r="D123" s="167"/>
    </row>
    <row r="124" spans="4:4" ht="12" x14ac:dyDescent="0.2">
      <c r="D124" s="167"/>
    </row>
    <row r="125" spans="4:4" ht="12" x14ac:dyDescent="0.2">
      <c r="D125" s="167"/>
    </row>
    <row r="126" spans="4:4" ht="12" x14ac:dyDescent="0.2">
      <c r="D126" s="167"/>
    </row>
    <row r="127" spans="4:4" ht="12" x14ac:dyDescent="0.2">
      <c r="D127" s="167"/>
    </row>
    <row r="128" spans="4:4" ht="12" x14ac:dyDescent="0.2">
      <c r="D128" s="167"/>
    </row>
    <row r="129" spans="4:4" ht="12" x14ac:dyDescent="0.2">
      <c r="D129" s="167"/>
    </row>
    <row r="130" spans="4:4" ht="12" x14ac:dyDescent="0.2">
      <c r="D130" s="167"/>
    </row>
    <row r="131" spans="4:4" ht="12" x14ac:dyDescent="0.2">
      <c r="D131" s="167"/>
    </row>
    <row r="132" spans="4:4" ht="12" x14ac:dyDescent="0.2">
      <c r="D132" s="167"/>
    </row>
    <row r="133" spans="4:4" ht="12" x14ac:dyDescent="0.2">
      <c r="D133" s="167"/>
    </row>
    <row r="134" spans="4:4" ht="12" x14ac:dyDescent="0.2">
      <c r="D134" s="167"/>
    </row>
    <row r="135" spans="4:4" ht="12" x14ac:dyDescent="0.2">
      <c r="D135" s="167"/>
    </row>
    <row r="136" spans="4:4" ht="12" x14ac:dyDescent="0.2">
      <c r="D136" s="167"/>
    </row>
    <row r="137" spans="4:4" ht="12" x14ac:dyDescent="0.2">
      <c r="D137" s="167"/>
    </row>
    <row r="138" spans="4:4" ht="12" x14ac:dyDescent="0.2">
      <c r="D138" s="167"/>
    </row>
    <row r="139" spans="4:4" ht="12" x14ac:dyDescent="0.2">
      <c r="D139" s="167"/>
    </row>
    <row r="140" spans="4:4" ht="12" x14ac:dyDescent="0.2">
      <c r="D140" s="167"/>
    </row>
    <row r="141" spans="4:4" ht="12" x14ac:dyDescent="0.2">
      <c r="D141" s="167"/>
    </row>
    <row r="142" spans="4:4" ht="12" x14ac:dyDescent="0.2">
      <c r="D142" s="167"/>
    </row>
    <row r="143" spans="4:4" ht="12" x14ac:dyDescent="0.2">
      <c r="D143" s="167"/>
    </row>
    <row r="144" spans="4:4" ht="12" x14ac:dyDescent="0.2">
      <c r="D144" s="167"/>
    </row>
    <row r="145" spans="4:4" ht="12" x14ac:dyDescent="0.2">
      <c r="D145" s="167"/>
    </row>
    <row r="146" spans="4:4" ht="12" x14ac:dyDescent="0.2">
      <c r="D146" s="167"/>
    </row>
    <row r="147" spans="4:4" ht="12" x14ac:dyDescent="0.2">
      <c r="D147" s="167"/>
    </row>
    <row r="148" spans="4:4" ht="12" x14ac:dyDescent="0.2">
      <c r="D148" s="167"/>
    </row>
    <row r="149" spans="4:4" ht="12" x14ac:dyDescent="0.2">
      <c r="D149" s="167"/>
    </row>
    <row r="150" spans="4:4" ht="12" x14ac:dyDescent="0.2">
      <c r="D150" s="167"/>
    </row>
    <row r="151" spans="4:4" ht="12" x14ac:dyDescent="0.2">
      <c r="D151" s="167"/>
    </row>
    <row r="152" spans="4:4" ht="12" x14ac:dyDescent="0.2">
      <c r="D152" s="167"/>
    </row>
    <row r="153" spans="4:4" ht="12" x14ac:dyDescent="0.2">
      <c r="D153" s="167"/>
    </row>
    <row r="154" spans="4:4" ht="12" x14ac:dyDescent="0.2">
      <c r="D154" s="167"/>
    </row>
    <row r="155" spans="4:4" ht="12" x14ac:dyDescent="0.2">
      <c r="D155" s="167"/>
    </row>
    <row r="156" spans="4:4" ht="12" x14ac:dyDescent="0.2">
      <c r="D156" s="167"/>
    </row>
    <row r="157" spans="4:4" ht="12" x14ac:dyDescent="0.2">
      <c r="D157" s="167"/>
    </row>
    <row r="158" spans="4:4" ht="12" x14ac:dyDescent="0.2">
      <c r="D158" s="167"/>
    </row>
    <row r="159" spans="4:4" ht="12" x14ac:dyDescent="0.2">
      <c r="D159" s="167"/>
    </row>
    <row r="160" spans="4:4" ht="12" x14ac:dyDescent="0.2">
      <c r="D160" s="167"/>
    </row>
    <row r="161" spans="4:4" ht="12" x14ac:dyDescent="0.2">
      <c r="D161" s="167"/>
    </row>
    <row r="162" spans="4:4" ht="12" x14ac:dyDescent="0.2">
      <c r="D162" s="167"/>
    </row>
    <row r="163" spans="4:4" ht="12" x14ac:dyDescent="0.2">
      <c r="D163" s="167"/>
    </row>
    <row r="164" spans="4:4" ht="12" x14ac:dyDescent="0.2">
      <c r="D164" s="167"/>
    </row>
    <row r="165" spans="4:4" ht="12" x14ac:dyDescent="0.2">
      <c r="D165" s="167"/>
    </row>
    <row r="166" spans="4:4" ht="12" x14ac:dyDescent="0.2">
      <c r="D166" s="167"/>
    </row>
    <row r="167" spans="4:4" ht="12" x14ac:dyDescent="0.2">
      <c r="D167" s="167"/>
    </row>
    <row r="168" spans="4:4" ht="12" x14ac:dyDescent="0.2">
      <c r="D168" s="167"/>
    </row>
    <row r="169" spans="4:4" ht="12" x14ac:dyDescent="0.2">
      <c r="D169" s="167"/>
    </row>
    <row r="170" spans="4:4" ht="12" x14ac:dyDescent="0.2">
      <c r="D170" s="167"/>
    </row>
    <row r="171" spans="4:4" ht="12" x14ac:dyDescent="0.2">
      <c r="D171" s="167"/>
    </row>
    <row r="172" spans="4:4" ht="12" x14ac:dyDescent="0.2">
      <c r="D172" s="167"/>
    </row>
    <row r="173" spans="4:4" ht="12" x14ac:dyDescent="0.2">
      <c r="D173" s="167"/>
    </row>
    <row r="174" spans="4:4" ht="12" x14ac:dyDescent="0.2">
      <c r="D174" s="167"/>
    </row>
    <row r="175" spans="4:4" ht="12" x14ac:dyDescent="0.2">
      <c r="D175" s="167"/>
    </row>
    <row r="176" spans="4:4" ht="12" x14ac:dyDescent="0.2">
      <c r="D176" s="167"/>
    </row>
    <row r="177" spans="4:4" ht="12" x14ac:dyDescent="0.2">
      <c r="D177" s="167"/>
    </row>
    <row r="178" spans="4:4" ht="12" x14ac:dyDescent="0.2">
      <c r="D178" s="167"/>
    </row>
    <row r="179" spans="4:4" ht="12" x14ac:dyDescent="0.2">
      <c r="D179" s="167"/>
    </row>
    <row r="180" spans="4:4" ht="12" x14ac:dyDescent="0.2">
      <c r="D180" s="167"/>
    </row>
    <row r="181" spans="4:4" ht="12" x14ac:dyDescent="0.2">
      <c r="D181" s="167"/>
    </row>
    <row r="182" spans="4:4" ht="12" x14ac:dyDescent="0.2">
      <c r="D182" s="167"/>
    </row>
    <row r="183" spans="4:4" ht="12" x14ac:dyDescent="0.2">
      <c r="D183" s="167"/>
    </row>
    <row r="184" spans="4:4" ht="12" x14ac:dyDescent="0.2">
      <c r="D184" s="167"/>
    </row>
    <row r="185" spans="4:4" ht="12" x14ac:dyDescent="0.2">
      <c r="D185" s="167"/>
    </row>
    <row r="186" spans="4:4" ht="12" x14ac:dyDescent="0.2">
      <c r="D186" s="167"/>
    </row>
    <row r="187" spans="4:4" ht="12" x14ac:dyDescent="0.2">
      <c r="D187" s="167"/>
    </row>
    <row r="188" spans="4:4" ht="12" x14ac:dyDescent="0.2">
      <c r="D188" s="167"/>
    </row>
    <row r="189" spans="4:4" ht="12" x14ac:dyDescent="0.2">
      <c r="D189" s="167"/>
    </row>
    <row r="190" spans="4:4" ht="12" x14ac:dyDescent="0.2">
      <c r="D190" s="167"/>
    </row>
    <row r="191" spans="4:4" ht="12" x14ac:dyDescent="0.2">
      <c r="D191" s="167"/>
    </row>
    <row r="192" spans="4:4" ht="12" x14ac:dyDescent="0.2">
      <c r="D192" s="167"/>
    </row>
    <row r="193" spans="4:4" ht="12" x14ac:dyDescent="0.2">
      <c r="D193" s="167"/>
    </row>
    <row r="194" spans="4:4" ht="12" x14ac:dyDescent="0.2">
      <c r="D194" s="167"/>
    </row>
    <row r="195" spans="4:4" ht="12" x14ac:dyDescent="0.2">
      <c r="D195" s="167"/>
    </row>
    <row r="196" spans="4:4" ht="12" x14ac:dyDescent="0.2">
      <c r="D196" s="167"/>
    </row>
    <row r="197" spans="4:4" ht="12" x14ac:dyDescent="0.2">
      <c r="D197" s="167"/>
    </row>
    <row r="198" spans="4:4" ht="12" x14ac:dyDescent="0.2">
      <c r="D198" s="167"/>
    </row>
    <row r="199" spans="4:4" ht="12" x14ac:dyDescent="0.2">
      <c r="D199" s="167"/>
    </row>
    <row r="200" spans="4:4" ht="12" x14ac:dyDescent="0.2">
      <c r="D200" s="167"/>
    </row>
    <row r="201" spans="4:4" ht="12" x14ac:dyDescent="0.2">
      <c r="D201" s="167"/>
    </row>
    <row r="202" spans="4:4" ht="12" x14ac:dyDescent="0.2">
      <c r="D202" s="167"/>
    </row>
    <row r="203" spans="4:4" ht="12" x14ac:dyDescent="0.2">
      <c r="D203" s="167"/>
    </row>
    <row r="204" spans="4:4" ht="12" x14ac:dyDescent="0.2">
      <c r="D204" s="167"/>
    </row>
    <row r="205" spans="4:4" ht="12" x14ac:dyDescent="0.2">
      <c r="D205" s="167"/>
    </row>
    <row r="206" spans="4:4" ht="12" x14ac:dyDescent="0.2">
      <c r="D206" s="167"/>
    </row>
    <row r="207" spans="4:4" ht="12" x14ac:dyDescent="0.2">
      <c r="D207" s="167"/>
    </row>
    <row r="208" spans="4:4" ht="12" x14ac:dyDescent="0.2">
      <c r="D208" s="167"/>
    </row>
    <row r="209" spans="4:4" ht="12" x14ac:dyDescent="0.2">
      <c r="D209" s="167"/>
    </row>
    <row r="210" spans="4:4" ht="12" x14ac:dyDescent="0.2">
      <c r="D210" s="167"/>
    </row>
    <row r="211" spans="4:4" ht="12" x14ac:dyDescent="0.2">
      <c r="D211" s="167"/>
    </row>
    <row r="212" spans="4:4" ht="12" x14ac:dyDescent="0.2">
      <c r="D212" s="167"/>
    </row>
    <row r="213" spans="4:4" ht="12" x14ac:dyDescent="0.2">
      <c r="D213" s="167"/>
    </row>
    <row r="214" spans="4:4" ht="12" x14ac:dyDescent="0.2">
      <c r="D214" s="167"/>
    </row>
    <row r="215" spans="4:4" ht="12" x14ac:dyDescent="0.2">
      <c r="D215" s="167"/>
    </row>
    <row r="216" spans="4:4" ht="12" x14ac:dyDescent="0.2">
      <c r="D216" s="167"/>
    </row>
    <row r="217" spans="4:4" ht="12" x14ac:dyDescent="0.2">
      <c r="D217" s="167"/>
    </row>
    <row r="218" spans="4:4" ht="12" x14ac:dyDescent="0.2">
      <c r="D218" s="167"/>
    </row>
    <row r="219" spans="4:4" ht="12" x14ac:dyDescent="0.2">
      <c r="D219" s="167"/>
    </row>
    <row r="220" spans="4:4" ht="12" x14ac:dyDescent="0.2">
      <c r="D220" s="167"/>
    </row>
    <row r="221" spans="4:4" ht="12" x14ac:dyDescent="0.2">
      <c r="D221" s="167"/>
    </row>
    <row r="222" spans="4:4" ht="12" x14ac:dyDescent="0.2">
      <c r="D222" s="167"/>
    </row>
    <row r="223" spans="4:4" ht="12" x14ac:dyDescent="0.2">
      <c r="D223" s="167"/>
    </row>
    <row r="224" spans="4:4" ht="12" x14ac:dyDescent="0.2">
      <c r="D224" s="167"/>
    </row>
  </sheetData>
  <sheetProtection algorithmName="SHA-512" hashValue="WSgRmCh/Qji9nSBFoNeN4SQKDzhkyYO8qKU/iC1L8HY7/Koe/8V91Rhze5xSG1T1NyK5tWop1zJc3Zbe28do7Q==" saltValue="T+BEAIhUzicnKKNyOCEJcg==" spinCount="100000" sheet="1" objects="1" scenarios="1"/>
  <mergeCells count="31">
    <mergeCell ref="C1:F1"/>
    <mergeCell ref="A57:D57"/>
    <mergeCell ref="G37:H37"/>
    <mergeCell ref="G38:H38"/>
    <mergeCell ref="A43:B43"/>
    <mergeCell ref="A36:B36"/>
    <mergeCell ref="A41:B41"/>
    <mergeCell ref="A42:B42"/>
    <mergeCell ref="A37:B37"/>
    <mergeCell ref="A38:B38"/>
    <mergeCell ref="A39:B39"/>
    <mergeCell ref="H21:I21"/>
    <mergeCell ref="H34:I34"/>
    <mergeCell ref="A29:B29"/>
    <mergeCell ref="A32:B32"/>
    <mergeCell ref="A33:B33"/>
    <mergeCell ref="G28:H29"/>
    <mergeCell ref="C2:F2"/>
    <mergeCell ref="C3:F3"/>
    <mergeCell ref="C4:F4"/>
    <mergeCell ref="C5:F5"/>
    <mergeCell ref="A34:B34"/>
    <mergeCell ref="A27:B27"/>
    <mergeCell ref="A28:B28"/>
    <mergeCell ref="A15:B15"/>
    <mergeCell ref="C6:F6"/>
    <mergeCell ref="A10:F10"/>
    <mergeCell ref="A30:B30"/>
    <mergeCell ref="A20:B20"/>
    <mergeCell ref="A25:B25"/>
    <mergeCell ref="A19:B19"/>
  </mergeCells>
  <phoneticPr fontId="12" type="noConversion"/>
  <conditionalFormatting sqref="F28">
    <cfRule type="cellIs" dxfId="34" priority="1" operator="equal">
      <formula>"Answer Required"</formula>
    </cfRule>
  </conditionalFormatting>
  <dataValidations count="4">
    <dataValidation type="whole" allowBlank="1" showInputMessage="1" showErrorMessage="1" error="Enter whole number." sqref="C36:D37 C32:D34 C27:D28 C30:D30 C39:D39 C41:D43" xr:uid="{00000000-0002-0000-1100-000000000000}">
      <formula1>-100000000000000</formula1>
      <formula2>100000000000000</formula2>
    </dataValidation>
    <dataValidation allowBlank="1" showInputMessage="1" showErrorMessage="1" error="Enter whole number." sqref="C31:D31 C29:D29 C38:D38 C40:D40" xr:uid="{00000000-0002-0000-1100-000001000000}"/>
    <dataValidation type="list" allowBlank="1" showInputMessage="1" showErrorMessage="1" error="Enter yes, no, or n/a." sqref="F28" xr:uid="{00000000-0002-0000-1100-000002000000}">
      <formula1>$F$59:$F$61</formula1>
    </dataValidation>
    <dataValidation type="whole" allowBlank="1" showInputMessage="1" showErrorMessage="1" error="Enter a 3-digit agency control number." sqref="C1:F1" xr:uid="{00000000-0002-0000-1100-000003000000}">
      <formula1>100</formula1>
      <formula2>999</formula2>
    </dataValidation>
  </dataValidations>
  <pageMargins left="0.95" right="0.7" top="1" bottom="0.75" header="0.3" footer="0.3"/>
  <pageSetup scale="53" orientation="portrait" cellComments="asDisplayed" r:id="rId1"/>
  <headerFooter alignWithMargins="0">
    <oddHeader>&amp;C&amp;"Arial,Bold"&amp;11Attachment HE-10
Financial Statement Template
&amp;A</oddHeader>
    <oddFooter>&amp;L&amp;"Arial,Regular"&amp;F \ &amp;A&amp;R&amp;"Arial,Regular"Page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32"/>
  <sheetViews>
    <sheetView showGridLines="0" zoomScale="85" zoomScaleNormal="85" zoomScaleSheetLayoutView="75" workbookViewId="0">
      <selection activeCell="L73" sqref="L73"/>
    </sheetView>
  </sheetViews>
  <sheetFormatPr defaultColWidth="10.6640625" defaultRowHeight="12.75" x14ac:dyDescent="0.2"/>
  <cols>
    <col min="1" max="1" width="32.33203125" style="58" customWidth="1"/>
    <col min="2" max="2" width="9.6640625" style="58" customWidth="1"/>
    <col min="3" max="11" width="16.83203125" style="58" customWidth="1"/>
    <col min="12" max="13" width="16.5" style="58" customWidth="1"/>
    <col min="14" max="14" width="18.83203125" style="58" customWidth="1"/>
    <col min="15" max="16384" width="10.6640625" style="58"/>
  </cols>
  <sheetData>
    <row r="1" spans="1:11" x14ac:dyDescent="0.2">
      <c r="A1" s="986" t="s">
        <v>1155</v>
      </c>
      <c r="C1" s="1546">
        <f>FST!E1</f>
        <v>0</v>
      </c>
      <c r="D1" s="1547"/>
      <c r="E1" s="1547"/>
      <c r="F1" s="1547"/>
    </row>
    <row r="2" spans="1:11" s="33" customFormat="1" ht="36.75" customHeight="1" x14ac:dyDescent="0.2">
      <c r="A2" s="824" t="s">
        <v>770</v>
      </c>
      <c r="B2" s="31"/>
      <c r="C2" s="1546" t="str">
        <f>FST!E2</f>
        <v/>
      </c>
      <c r="D2" s="1547"/>
      <c r="E2" s="1547"/>
      <c r="F2" s="1547"/>
      <c r="G2" s="284"/>
      <c r="H2" s="285"/>
      <c r="I2" s="285"/>
      <c r="J2" s="285"/>
    </row>
    <row r="3" spans="1:11" s="33" customFormat="1" x14ac:dyDescent="0.2">
      <c r="A3" s="824" t="s">
        <v>771</v>
      </c>
      <c r="B3" s="220"/>
      <c r="C3" s="1556">
        <f>FST!E3</f>
        <v>0</v>
      </c>
      <c r="D3" s="1557"/>
      <c r="E3" s="1557"/>
      <c r="F3" s="1557"/>
      <c r="G3" s="284"/>
      <c r="H3" s="285"/>
      <c r="I3" s="285"/>
      <c r="J3" s="285"/>
    </row>
    <row r="4" spans="1:11" s="33" customFormat="1" x14ac:dyDescent="0.2">
      <c r="A4" s="824" t="s">
        <v>773</v>
      </c>
      <c r="B4" s="220"/>
      <c r="C4" s="1558">
        <f>FST!E4</f>
        <v>0</v>
      </c>
      <c r="D4" s="1559"/>
      <c r="E4" s="1559"/>
      <c r="F4" s="1559"/>
      <c r="G4" s="284"/>
      <c r="H4" s="285"/>
      <c r="I4" s="285"/>
      <c r="J4" s="285"/>
    </row>
    <row r="5" spans="1:11" s="33" customFormat="1" x14ac:dyDescent="0.2">
      <c r="A5" s="825" t="s">
        <v>774</v>
      </c>
      <c r="B5" s="220"/>
      <c r="C5" s="1556">
        <f>FST!E5</f>
        <v>0</v>
      </c>
      <c r="D5" s="1557"/>
      <c r="E5" s="1557"/>
      <c r="F5" s="1557"/>
      <c r="G5" s="284"/>
      <c r="H5" s="285"/>
      <c r="I5" s="285"/>
      <c r="J5" s="285"/>
    </row>
    <row r="6" spans="1:11" s="33" customFormat="1" x14ac:dyDescent="0.2">
      <c r="A6" s="826" t="s">
        <v>775</v>
      </c>
      <c r="B6" s="220"/>
      <c r="C6" s="1553">
        <f>FST!E6</f>
        <v>0</v>
      </c>
      <c r="D6" s="1554"/>
      <c r="E6" s="1554"/>
      <c r="F6" s="1554"/>
      <c r="G6" s="284"/>
      <c r="H6" s="286"/>
      <c r="I6" s="286"/>
      <c r="J6" s="286"/>
    </row>
    <row r="7" spans="1:11" s="33" customFormat="1" ht="12" x14ac:dyDescent="0.2">
      <c r="A7" s="67" t="s">
        <v>588</v>
      </c>
      <c r="B7" s="34"/>
    </row>
    <row r="8" spans="1:11" s="33" customFormat="1" ht="12" x14ac:dyDescent="0.2">
      <c r="A8" s="827"/>
      <c r="B8" s="34"/>
    </row>
    <row r="9" spans="1:11" s="33" customFormat="1" ht="12" x14ac:dyDescent="0.2">
      <c r="A9" s="827"/>
      <c r="B9" s="34"/>
    </row>
    <row r="10" spans="1:11" s="33" customFormat="1" ht="30.75" customHeight="1" x14ac:dyDescent="0.2">
      <c r="A10" s="1263" t="s">
        <v>53</v>
      </c>
      <c r="B10" s="1555"/>
      <c r="C10" s="1555"/>
      <c r="D10" s="1555"/>
      <c r="E10" s="1555"/>
      <c r="F10" s="1555"/>
      <c r="G10" s="976"/>
      <c r="H10" s="976"/>
      <c r="I10" s="976"/>
      <c r="J10" s="976"/>
      <c r="K10" s="976"/>
    </row>
    <row r="11" spans="1:11" s="33" customFormat="1" ht="24.75" customHeight="1" x14ac:dyDescent="0.2">
      <c r="A11" s="1271" t="s">
        <v>1358</v>
      </c>
      <c r="B11" s="1545"/>
      <c r="C11" s="1545"/>
      <c r="D11" s="1545"/>
      <c r="E11" s="1545"/>
      <c r="F11" s="1545"/>
    </row>
    <row r="12" spans="1:11" s="33" customFormat="1" ht="12" x14ac:dyDescent="0.2">
      <c r="A12" s="36"/>
      <c r="B12" s="35"/>
      <c r="C12" s="36"/>
      <c r="D12" s="36"/>
      <c r="E12" s="36"/>
      <c r="F12" s="36"/>
      <c r="G12" s="36"/>
      <c r="H12" s="36"/>
      <c r="I12" s="36"/>
      <c r="J12" s="36"/>
      <c r="K12" s="36"/>
    </row>
    <row r="13" spans="1:11" s="33" customFormat="1" ht="12" x14ac:dyDescent="0.2">
      <c r="A13" s="221"/>
      <c r="B13" s="34"/>
    </row>
    <row r="14" spans="1:11" s="33" customFormat="1" ht="12" x14ac:dyDescent="0.2">
      <c r="A14" s="67" t="s">
        <v>616</v>
      </c>
      <c r="B14" s="34"/>
    </row>
    <row r="15" spans="1:11" s="33" customFormat="1" ht="12" x14ac:dyDescent="0.2">
      <c r="A15" s="33" t="s">
        <v>222</v>
      </c>
      <c r="B15" s="34"/>
    </row>
    <row r="16" spans="1:11" s="33" customFormat="1" ht="12" x14ac:dyDescent="0.2">
      <c r="A16" s="33" t="s">
        <v>727</v>
      </c>
      <c r="B16" s="34"/>
    </row>
    <row r="17" spans="1:14" s="33" customFormat="1" ht="12" x14ac:dyDescent="0.2">
      <c r="A17" s="249"/>
      <c r="B17" s="35"/>
      <c r="C17" s="36"/>
      <c r="D17" s="36"/>
      <c r="E17" s="36"/>
      <c r="F17" s="36"/>
      <c r="G17" s="36"/>
      <c r="H17" s="36"/>
      <c r="I17" s="36"/>
      <c r="J17" s="36"/>
      <c r="K17" s="36"/>
    </row>
    <row r="18" spans="1:14" s="222" customFormat="1" ht="33.75" customHeight="1" x14ac:dyDescent="0.2">
      <c r="A18" s="1544" t="s">
        <v>424</v>
      </c>
      <c r="B18" s="1545"/>
      <c r="C18" s="1545"/>
      <c r="D18" s="1545"/>
      <c r="E18" s="1545"/>
      <c r="F18" s="1545"/>
      <c r="G18" s="284"/>
    </row>
    <row r="19" spans="1:14" s="222" customFormat="1" x14ac:dyDescent="0.2">
      <c r="B19" s="223"/>
    </row>
    <row r="20" spans="1:14" ht="57.95" customHeight="1" x14ac:dyDescent="0.2">
      <c r="A20" s="58" t="s">
        <v>54</v>
      </c>
      <c r="B20" s="224"/>
      <c r="C20" s="313">
        <f>'Combining FST'!G19</f>
        <v>0</v>
      </c>
      <c r="D20" s="313">
        <f>'Combining FST'!H19</f>
        <v>0</v>
      </c>
      <c r="E20" s="313">
        <f>'Combining FST'!I19</f>
        <v>0</v>
      </c>
      <c r="F20" s="313">
        <f>'Combining FST'!J19</f>
        <v>0</v>
      </c>
      <c r="G20" s="313">
        <f>'Combining FST'!K19</f>
        <v>0</v>
      </c>
      <c r="H20" s="313">
        <f>'Combining FST'!L19</f>
        <v>0</v>
      </c>
      <c r="I20" s="313">
        <f>'Combining FST'!M19</f>
        <v>0</v>
      </c>
      <c r="J20" s="313">
        <f>'Combining FST'!N19</f>
        <v>0</v>
      </c>
    </row>
    <row r="21" spans="1:14" x14ac:dyDescent="0.2">
      <c r="A21" s="828" t="s">
        <v>184</v>
      </c>
      <c r="B21" s="224"/>
      <c r="C21" s="537">
        <f>'Combining FST'!G20</f>
        <v>0</v>
      </c>
      <c r="D21" s="537">
        <f>'Combining FST'!H20</f>
        <v>0</v>
      </c>
      <c r="E21" s="537">
        <f>'Combining FST'!I20</f>
        <v>0</v>
      </c>
      <c r="F21" s="537">
        <f>'Combining FST'!J20</f>
        <v>0</v>
      </c>
      <c r="G21" s="537">
        <f>'Combining FST'!K20</f>
        <v>0</v>
      </c>
      <c r="H21" s="537">
        <f>'Combining FST'!L20</f>
        <v>0</v>
      </c>
      <c r="I21" s="537">
        <f>'Combining FST'!M20</f>
        <v>0</v>
      </c>
      <c r="J21" s="537">
        <f>'Combining FST'!N20</f>
        <v>0</v>
      </c>
    </row>
    <row r="22" spans="1:14" s="222" customFormat="1" x14ac:dyDescent="0.2">
      <c r="A22" s="833"/>
      <c r="B22" s="223"/>
    </row>
    <row r="23" spans="1:14" s="222" customFormat="1" ht="51" hidden="1" x14ac:dyDescent="0.2">
      <c r="A23" s="225" t="s">
        <v>587</v>
      </c>
      <c r="B23" s="223" t="s">
        <v>59</v>
      </c>
      <c r="C23" s="796"/>
      <c r="D23" s="796"/>
      <c r="E23" s="796"/>
      <c r="F23" s="796"/>
      <c r="G23" s="796"/>
      <c r="H23" s="796"/>
      <c r="I23" s="796"/>
      <c r="J23" s="796"/>
    </row>
    <row r="24" spans="1:14" s="222" customFormat="1" hidden="1" x14ac:dyDescent="0.2">
      <c r="A24" s="225"/>
      <c r="B24" s="223"/>
    </row>
    <row r="25" spans="1:14" s="222" customFormat="1" ht="51" x14ac:dyDescent="0.2">
      <c r="A25" s="855" t="s">
        <v>1113</v>
      </c>
      <c r="B25" s="767" t="s">
        <v>59</v>
      </c>
      <c r="C25" s="287" t="str">
        <f>IF(C20=0,"N/A","Answer Required")</f>
        <v>N/A</v>
      </c>
      <c r="D25" s="287" t="str">
        <f t="shared" ref="D25:J25" si="0">IF(D20=0,"N/A","Answer Required")</f>
        <v>N/A</v>
      </c>
      <c r="E25" s="287" t="str">
        <f t="shared" si="0"/>
        <v>N/A</v>
      </c>
      <c r="F25" s="287" t="str">
        <f t="shared" si="0"/>
        <v>N/A</v>
      </c>
      <c r="G25" s="287" t="str">
        <f t="shared" si="0"/>
        <v>N/A</v>
      </c>
      <c r="H25" s="287" t="str">
        <f t="shared" si="0"/>
        <v>N/A</v>
      </c>
      <c r="I25" s="287" t="str">
        <f t="shared" si="0"/>
        <v>N/A</v>
      </c>
      <c r="J25" s="287" t="str">
        <f t="shared" si="0"/>
        <v>N/A</v>
      </c>
    </row>
    <row r="26" spans="1:14" s="222" customFormat="1" x14ac:dyDescent="0.2">
      <c r="A26" s="833"/>
      <c r="B26" s="223"/>
    </row>
    <row r="27" spans="1:14" s="222" customFormat="1" ht="51" x14ac:dyDescent="0.2">
      <c r="A27" s="855" t="s">
        <v>1114</v>
      </c>
      <c r="B27" s="767" t="s">
        <v>59</v>
      </c>
      <c r="C27" s="287" t="str">
        <f>IF(C20=0,"N/A","Answer Required")</f>
        <v>N/A</v>
      </c>
      <c r="D27" s="287" t="str">
        <f t="shared" ref="D27:J27" si="1">IF(D20=0,"N/A","Answer Required")</f>
        <v>N/A</v>
      </c>
      <c r="E27" s="287" t="str">
        <f t="shared" si="1"/>
        <v>N/A</v>
      </c>
      <c r="F27" s="287" t="str">
        <f t="shared" si="1"/>
        <v>N/A</v>
      </c>
      <c r="G27" s="287" t="str">
        <f t="shared" si="1"/>
        <v>N/A</v>
      </c>
      <c r="H27" s="287" t="str">
        <f t="shared" si="1"/>
        <v>N/A</v>
      </c>
      <c r="I27" s="287" t="str">
        <f t="shared" si="1"/>
        <v>N/A</v>
      </c>
      <c r="J27" s="287" t="str">
        <f t="shared" si="1"/>
        <v>N/A</v>
      </c>
    </row>
    <row r="28" spans="1:14" s="222" customFormat="1" x14ac:dyDescent="0.2">
      <c r="A28" s="225"/>
      <c r="B28" s="223"/>
      <c r="F28" s="226"/>
    </row>
    <row r="29" spans="1:14" s="222" customFormat="1" x14ac:dyDescent="0.2">
      <c r="A29" s="833"/>
      <c r="B29" s="223"/>
    </row>
    <row r="30" spans="1:14" ht="71.25" customHeight="1" x14ac:dyDescent="0.2">
      <c r="A30" s="1550" t="s">
        <v>1241</v>
      </c>
      <c r="B30" s="1545"/>
      <c r="C30" s="1545"/>
      <c r="D30" s="1545"/>
      <c r="E30" s="1545"/>
      <c r="F30" s="1545"/>
    </row>
    <row r="31" spans="1:14" ht="73.5" customHeight="1" x14ac:dyDescent="0.2">
      <c r="A31" s="58" t="s">
        <v>54</v>
      </c>
      <c r="B31" s="224"/>
      <c r="C31" s="313">
        <f>C20</f>
        <v>0</v>
      </c>
      <c r="D31" s="313">
        <f t="shared" ref="D31:J31" si="2">D20</f>
        <v>0</v>
      </c>
      <c r="E31" s="313">
        <f t="shared" si="2"/>
        <v>0</v>
      </c>
      <c r="F31" s="313">
        <f t="shared" si="2"/>
        <v>0</v>
      </c>
      <c r="G31" s="313">
        <f t="shared" si="2"/>
        <v>0</v>
      </c>
      <c r="H31" s="313">
        <f t="shared" si="2"/>
        <v>0</v>
      </c>
      <c r="I31" s="313">
        <f t="shared" si="2"/>
        <v>0</v>
      </c>
      <c r="J31" s="345">
        <f t="shared" si="2"/>
        <v>0</v>
      </c>
      <c r="K31" s="1543" t="s">
        <v>364</v>
      </c>
      <c r="L31" s="1540" t="s">
        <v>610</v>
      </c>
      <c r="M31" s="1540" t="s">
        <v>611</v>
      </c>
      <c r="N31" s="1540" t="s">
        <v>44</v>
      </c>
    </row>
    <row r="32" spans="1:14" x14ac:dyDescent="0.2">
      <c r="A32" s="828" t="s">
        <v>184</v>
      </c>
      <c r="B32" s="224"/>
      <c r="C32" s="537">
        <f>C21</f>
        <v>0</v>
      </c>
      <c r="D32" s="537">
        <f t="shared" ref="D32:J32" si="3">D21</f>
        <v>0</v>
      </c>
      <c r="E32" s="537">
        <f t="shared" si="3"/>
        <v>0</v>
      </c>
      <c r="F32" s="537">
        <f t="shared" si="3"/>
        <v>0</v>
      </c>
      <c r="G32" s="537">
        <f t="shared" si="3"/>
        <v>0</v>
      </c>
      <c r="H32" s="537">
        <f t="shared" si="3"/>
        <v>0</v>
      </c>
      <c r="I32" s="537">
        <f t="shared" si="3"/>
        <v>0</v>
      </c>
      <c r="J32" s="538">
        <f t="shared" si="3"/>
        <v>0</v>
      </c>
      <c r="K32" s="1217"/>
      <c r="L32" s="1541"/>
      <c r="M32" s="1541"/>
      <c r="N32" s="1541"/>
    </row>
    <row r="33" spans="1:14" x14ac:dyDescent="0.2">
      <c r="B33" s="224"/>
      <c r="C33" s="344"/>
      <c r="D33" s="344"/>
      <c r="E33" s="344"/>
      <c r="F33" s="344"/>
      <c r="G33" s="344"/>
      <c r="H33" s="344"/>
      <c r="I33" s="344"/>
      <c r="J33" s="344"/>
      <c r="K33" s="1217"/>
      <c r="L33" s="1541"/>
      <c r="M33" s="1541"/>
      <c r="N33" s="1541"/>
    </row>
    <row r="34" spans="1:14" x14ac:dyDescent="0.2">
      <c r="A34" s="58" t="s">
        <v>145</v>
      </c>
      <c r="K34" s="1217"/>
      <c r="L34" s="1542"/>
      <c r="M34" s="1542"/>
      <c r="N34" s="1542"/>
    </row>
    <row r="35" spans="1:14" x14ac:dyDescent="0.2">
      <c r="A35" s="58" t="s">
        <v>146</v>
      </c>
      <c r="B35" s="58" t="s">
        <v>503</v>
      </c>
      <c r="C35" s="63"/>
      <c r="D35" s="63"/>
      <c r="E35" s="63"/>
      <c r="F35" s="63"/>
      <c r="G35" s="63"/>
      <c r="H35" s="63"/>
      <c r="I35" s="63"/>
      <c r="J35" s="63"/>
      <c r="K35" s="231">
        <f t="shared" ref="K35:K47" si="4">SUM(C35:J35)</f>
        <v>0</v>
      </c>
      <c r="L35" s="63"/>
      <c r="M35" s="63"/>
      <c r="N35" s="62">
        <f>SUM(K35:M35)</f>
        <v>0</v>
      </c>
    </row>
    <row r="36" spans="1:14" x14ac:dyDescent="0.2">
      <c r="A36" s="58" t="s">
        <v>147</v>
      </c>
      <c r="C36" s="63"/>
      <c r="D36" s="63"/>
      <c r="E36" s="63"/>
      <c r="F36" s="63"/>
      <c r="G36" s="63"/>
      <c r="H36" s="63"/>
      <c r="I36" s="63"/>
      <c r="J36" s="63"/>
      <c r="K36" s="231">
        <f t="shared" si="4"/>
        <v>0</v>
      </c>
      <c r="L36" s="63"/>
      <c r="M36" s="63"/>
      <c r="N36" s="62">
        <f>SUM(K36:M36)</f>
        <v>0</v>
      </c>
    </row>
    <row r="37" spans="1:14" x14ac:dyDescent="0.2">
      <c r="A37" s="828" t="s">
        <v>950</v>
      </c>
      <c r="C37" s="63"/>
      <c r="D37" s="63"/>
      <c r="E37" s="63"/>
      <c r="F37" s="63"/>
      <c r="G37" s="63"/>
      <c r="H37" s="63"/>
      <c r="I37" s="63"/>
      <c r="J37" s="63"/>
      <c r="K37" s="231">
        <f t="shared" si="4"/>
        <v>0</v>
      </c>
      <c r="L37" s="63"/>
      <c r="M37" s="63"/>
      <c r="N37" s="62">
        <f t="shared" ref="N37:N69" si="5">SUM(K37:M37)</f>
        <v>0</v>
      </c>
    </row>
    <row r="38" spans="1:14" x14ac:dyDescent="0.2">
      <c r="A38" s="58" t="s">
        <v>150</v>
      </c>
      <c r="C38" s="63"/>
      <c r="D38" s="63"/>
      <c r="E38" s="63"/>
      <c r="F38" s="63"/>
      <c r="G38" s="63"/>
      <c r="H38" s="63"/>
      <c r="I38" s="63"/>
      <c r="J38" s="63"/>
      <c r="K38" s="231">
        <f t="shared" si="4"/>
        <v>0</v>
      </c>
      <c r="L38" s="63"/>
      <c r="M38" s="63"/>
      <c r="N38" s="62">
        <f t="shared" si="5"/>
        <v>0</v>
      </c>
    </row>
    <row r="39" spans="1:14" x14ac:dyDescent="0.2">
      <c r="A39" s="58" t="s">
        <v>451</v>
      </c>
      <c r="C39" s="63"/>
      <c r="D39" s="63"/>
      <c r="E39" s="63"/>
      <c r="F39" s="63"/>
      <c r="G39" s="63"/>
      <c r="H39" s="63"/>
      <c r="I39" s="63"/>
      <c r="J39" s="63"/>
      <c r="K39" s="231">
        <f t="shared" si="4"/>
        <v>0</v>
      </c>
      <c r="L39" s="63"/>
      <c r="M39" s="63"/>
      <c r="N39" s="62">
        <f t="shared" si="5"/>
        <v>0</v>
      </c>
    </row>
    <row r="40" spans="1:14" x14ac:dyDescent="0.2">
      <c r="A40" s="58" t="s">
        <v>151</v>
      </c>
      <c r="C40" s="63"/>
      <c r="D40" s="63"/>
      <c r="E40" s="63"/>
      <c r="F40" s="63"/>
      <c r="G40" s="63"/>
      <c r="H40" s="63"/>
      <c r="I40" s="63"/>
      <c r="J40" s="63"/>
      <c r="K40" s="231">
        <f t="shared" si="4"/>
        <v>0</v>
      </c>
      <c r="L40" s="63"/>
      <c r="M40" s="63"/>
      <c r="N40" s="62">
        <f t="shared" si="5"/>
        <v>0</v>
      </c>
    </row>
    <row r="41" spans="1:14" x14ac:dyDescent="0.2">
      <c r="A41" s="58" t="s">
        <v>152</v>
      </c>
      <c r="C41" s="63"/>
      <c r="D41" s="63"/>
      <c r="E41" s="63"/>
      <c r="F41" s="63"/>
      <c r="G41" s="63"/>
      <c r="H41" s="63"/>
      <c r="I41" s="63"/>
      <c r="J41" s="63"/>
      <c r="K41" s="231">
        <f t="shared" si="4"/>
        <v>0</v>
      </c>
      <c r="L41" s="63"/>
      <c r="M41" s="63"/>
      <c r="N41" s="62">
        <f t="shared" si="5"/>
        <v>0</v>
      </c>
    </row>
    <row r="42" spans="1:14" x14ac:dyDescent="0.2">
      <c r="A42" s="58" t="s">
        <v>401</v>
      </c>
      <c r="C42" s="63"/>
      <c r="D42" s="63"/>
      <c r="E42" s="63"/>
      <c r="F42" s="63"/>
      <c r="G42" s="63"/>
      <c r="H42" s="63"/>
      <c r="I42" s="63"/>
      <c r="J42" s="63"/>
      <c r="K42" s="231">
        <f t="shared" si="4"/>
        <v>0</v>
      </c>
      <c r="L42" s="63"/>
      <c r="M42" s="63"/>
      <c r="N42" s="62">
        <f t="shared" si="5"/>
        <v>0</v>
      </c>
    </row>
    <row r="43" spans="1:14" x14ac:dyDescent="0.2">
      <c r="A43" s="58" t="s">
        <v>232</v>
      </c>
      <c r="C43" s="63"/>
      <c r="D43" s="63"/>
      <c r="E43" s="63"/>
      <c r="F43" s="63"/>
      <c r="G43" s="63"/>
      <c r="H43" s="63"/>
      <c r="I43" s="63"/>
      <c r="J43" s="63"/>
      <c r="K43" s="231">
        <f t="shared" si="4"/>
        <v>0</v>
      </c>
      <c r="L43" s="63"/>
      <c r="M43" s="63"/>
      <c r="N43" s="62">
        <f t="shared" si="5"/>
        <v>0</v>
      </c>
    </row>
    <row r="44" spans="1:14" x14ac:dyDescent="0.2">
      <c r="A44" s="58" t="s">
        <v>452</v>
      </c>
      <c r="C44" s="63"/>
      <c r="D44" s="63"/>
      <c r="E44" s="63"/>
      <c r="F44" s="63"/>
      <c r="G44" s="63"/>
      <c r="H44" s="63"/>
      <c r="I44" s="63"/>
      <c r="J44" s="63"/>
      <c r="K44" s="231">
        <f t="shared" si="4"/>
        <v>0</v>
      </c>
      <c r="L44" s="63"/>
      <c r="M44" s="63"/>
      <c r="N44" s="62">
        <f t="shared" si="5"/>
        <v>0</v>
      </c>
    </row>
    <row r="45" spans="1:14" x14ac:dyDescent="0.2">
      <c r="A45" s="58" t="s">
        <v>233</v>
      </c>
      <c r="C45" s="63"/>
      <c r="D45" s="63"/>
      <c r="E45" s="63"/>
      <c r="F45" s="63"/>
      <c r="G45" s="63"/>
      <c r="H45" s="63"/>
      <c r="I45" s="63"/>
      <c r="J45" s="63"/>
      <c r="K45" s="231">
        <f t="shared" si="4"/>
        <v>0</v>
      </c>
      <c r="L45" s="63"/>
      <c r="M45" s="63"/>
      <c r="N45" s="62">
        <f t="shared" si="5"/>
        <v>0</v>
      </c>
    </row>
    <row r="46" spans="1:14" x14ac:dyDescent="0.2">
      <c r="A46" s="58" t="s">
        <v>154</v>
      </c>
      <c r="C46" s="63"/>
      <c r="D46" s="63"/>
      <c r="E46" s="63"/>
      <c r="F46" s="63"/>
      <c r="G46" s="63"/>
      <c r="H46" s="63"/>
      <c r="I46" s="63"/>
      <c r="J46" s="63"/>
      <c r="K46" s="231">
        <f t="shared" si="4"/>
        <v>0</v>
      </c>
      <c r="L46" s="63"/>
      <c r="M46" s="63"/>
      <c r="N46" s="62">
        <f t="shared" si="5"/>
        <v>0</v>
      </c>
    </row>
    <row r="47" spans="1:14" x14ac:dyDescent="0.2">
      <c r="A47" s="58" t="s">
        <v>153</v>
      </c>
      <c r="C47" s="63"/>
      <c r="D47" s="63"/>
      <c r="E47" s="63"/>
      <c r="F47" s="63"/>
      <c r="G47" s="63"/>
      <c r="H47" s="63"/>
      <c r="I47" s="63"/>
      <c r="J47" s="63"/>
      <c r="K47" s="231">
        <f t="shared" si="4"/>
        <v>0</v>
      </c>
      <c r="L47" s="63"/>
      <c r="M47" s="63"/>
      <c r="N47" s="62">
        <f t="shared" si="5"/>
        <v>0</v>
      </c>
    </row>
    <row r="48" spans="1:14" x14ac:dyDescent="0.2">
      <c r="A48" s="828" t="s">
        <v>956</v>
      </c>
      <c r="C48" s="63"/>
      <c r="D48" s="63"/>
      <c r="E48" s="63"/>
      <c r="F48" s="63"/>
      <c r="G48" s="63"/>
      <c r="H48" s="63"/>
      <c r="I48" s="63"/>
      <c r="J48" s="63"/>
      <c r="K48" s="231">
        <f t="shared" ref="K48:K50" si="6">SUM(C48:J48)</f>
        <v>0</v>
      </c>
      <c r="L48" s="63"/>
      <c r="M48" s="63"/>
      <c r="N48" s="62">
        <f>SUM(K48:M48)</f>
        <v>0</v>
      </c>
    </row>
    <row r="49" spans="1:14" x14ac:dyDescent="0.2">
      <c r="A49" s="828" t="s">
        <v>957</v>
      </c>
      <c r="C49" s="63"/>
      <c r="D49" s="63"/>
      <c r="E49" s="63"/>
      <c r="F49" s="63"/>
      <c r="G49" s="63"/>
      <c r="H49" s="63"/>
      <c r="I49" s="63"/>
      <c r="J49" s="63"/>
      <c r="K49" s="231">
        <f t="shared" si="6"/>
        <v>0</v>
      </c>
      <c r="L49" s="63"/>
      <c r="M49" s="63"/>
      <c r="N49" s="62">
        <f t="shared" ref="N49:N50" si="7">SUM(K49:M49)</f>
        <v>0</v>
      </c>
    </row>
    <row r="50" spans="1:14" x14ac:dyDescent="0.2">
      <c r="A50" s="828" t="s">
        <v>958</v>
      </c>
      <c r="C50" s="63"/>
      <c r="D50" s="63"/>
      <c r="E50" s="63"/>
      <c r="F50" s="63"/>
      <c r="G50" s="63"/>
      <c r="H50" s="63"/>
      <c r="I50" s="63"/>
      <c r="J50" s="63"/>
      <c r="K50" s="231">
        <f t="shared" si="6"/>
        <v>0</v>
      </c>
      <c r="L50" s="63"/>
      <c r="M50" s="63"/>
      <c r="N50" s="62">
        <f t="shared" si="7"/>
        <v>0</v>
      </c>
    </row>
    <row r="51" spans="1:14" x14ac:dyDescent="0.2">
      <c r="A51" s="828" t="s">
        <v>1678</v>
      </c>
      <c r="B51" s="1116"/>
      <c r="C51" s="63"/>
      <c r="D51" s="63"/>
      <c r="E51" s="63"/>
      <c r="F51" s="63"/>
      <c r="G51" s="63"/>
      <c r="H51" s="63"/>
      <c r="I51" s="63"/>
      <c r="J51" s="63"/>
      <c r="K51" s="231">
        <f t="shared" ref="K51" si="8">SUM(C51:J51)</f>
        <v>0</v>
      </c>
      <c r="L51" s="63"/>
      <c r="M51" s="63"/>
      <c r="N51" s="62">
        <f>SUM(K51:M51)</f>
        <v>0</v>
      </c>
    </row>
    <row r="52" spans="1:14" x14ac:dyDescent="0.2">
      <c r="A52" s="828" t="s">
        <v>1679</v>
      </c>
      <c r="B52" s="1116"/>
      <c r="C52" s="63"/>
      <c r="D52" s="63"/>
      <c r="E52" s="63"/>
      <c r="F52" s="63"/>
      <c r="G52" s="63"/>
      <c r="H52" s="63"/>
      <c r="I52" s="63"/>
      <c r="J52" s="63"/>
      <c r="K52" s="231">
        <f>SUM(C52:J52)</f>
        <v>0</v>
      </c>
      <c r="L52" s="63"/>
      <c r="M52" s="63"/>
      <c r="N52" s="62">
        <f>SUM(K52:M52)</f>
        <v>0</v>
      </c>
    </row>
    <row r="53" spans="1:14" x14ac:dyDescent="0.2">
      <c r="A53" s="828" t="s">
        <v>1680</v>
      </c>
      <c r="B53" s="1116"/>
      <c r="C53" s="63"/>
      <c r="D53" s="63"/>
      <c r="E53" s="63"/>
      <c r="F53" s="63"/>
      <c r="G53" s="63"/>
      <c r="H53" s="63"/>
      <c r="I53" s="63"/>
      <c r="J53" s="63"/>
      <c r="K53" s="231">
        <f>SUM(C53:J53)</f>
        <v>0</v>
      </c>
      <c r="L53" s="63"/>
      <c r="M53" s="63"/>
      <c r="N53" s="62">
        <f>SUM(K53:M53)</f>
        <v>0</v>
      </c>
    </row>
    <row r="54" spans="1:14" x14ac:dyDescent="0.2">
      <c r="A54" s="828" t="s">
        <v>959</v>
      </c>
      <c r="C54" s="62"/>
      <c r="D54" s="62"/>
      <c r="E54" s="62"/>
      <c r="F54" s="62"/>
      <c r="G54" s="62"/>
      <c r="H54" s="62"/>
      <c r="I54" s="62"/>
      <c r="J54" s="62"/>
      <c r="K54" s="62"/>
      <c r="L54" s="62"/>
      <c r="M54" s="62"/>
      <c r="N54" s="62"/>
    </row>
    <row r="55" spans="1:14" x14ac:dyDescent="0.2">
      <c r="A55" s="674"/>
      <c r="C55" s="63"/>
      <c r="D55" s="63"/>
      <c r="E55" s="63"/>
      <c r="F55" s="63"/>
      <c r="G55" s="63"/>
      <c r="H55" s="63"/>
      <c r="I55" s="63"/>
      <c r="J55" s="63"/>
      <c r="K55" s="231">
        <f>SUM(C55:J55)</f>
        <v>0</v>
      </c>
      <c r="L55" s="63"/>
      <c r="M55" s="63"/>
      <c r="N55" s="62">
        <f t="shared" si="5"/>
        <v>0</v>
      </c>
    </row>
    <row r="56" spans="1:14" x14ac:dyDescent="0.2">
      <c r="A56" s="674"/>
      <c r="C56" s="63"/>
      <c r="D56" s="63"/>
      <c r="E56" s="63"/>
      <c r="F56" s="63"/>
      <c r="G56" s="63"/>
      <c r="H56" s="63"/>
      <c r="I56" s="63"/>
      <c r="J56" s="63"/>
      <c r="K56" s="231">
        <f t="shared" ref="K56:K66" si="9">SUM(C56:J56)</f>
        <v>0</v>
      </c>
      <c r="L56" s="63"/>
      <c r="M56" s="63"/>
      <c r="N56" s="62">
        <f t="shared" si="5"/>
        <v>0</v>
      </c>
    </row>
    <row r="57" spans="1:14" x14ac:dyDescent="0.2">
      <c r="A57" s="674"/>
      <c r="C57" s="63"/>
      <c r="D57" s="63"/>
      <c r="E57" s="63"/>
      <c r="F57" s="63"/>
      <c r="G57" s="63"/>
      <c r="H57" s="63"/>
      <c r="I57" s="63"/>
      <c r="J57" s="63"/>
      <c r="K57" s="231">
        <f t="shared" si="9"/>
        <v>0</v>
      </c>
      <c r="L57" s="63"/>
      <c r="M57" s="63"/>
      <c r="N57" s="62">
        <f t="shared" si="5"/>
        <v>0</v>
      </c>
    </row>
    <row r="58" spans="1:14" x14ac:dyDescent="0.2">
      <c r="A58" s="674"/>
      <c r="C58" s="63"/>
      <c r="D58" s="63"/>
      <c r="E58" s="63"/>
      <c r="F58" s="63"/>
      <c r="G58" s="63"/>
      <c r="H58" s="63"/>
      <c r="I58" s="63"/>
      <c r="J58" s="63"/>
      <c r="K58" s="231">
        <f t="shared" si="9"/>
        <v>0</v>
      </c>
      <c r="L58" s="63"/>
      <c r="M58" s="63"/>
      <c r="N58" s="62">
        <f t="shared" si="5"/>
        <v>0</v>
      </c>
    </row>
    <row r="59" spans="1:14" x14ac:dyDescent="0.2">
      <c r="A59" s="674"/>
      <c r="C59" s="63"/>
      <c r="D59" s="63"/>
      <c r="E59" s="63"/>
      <c r="F59" s="63"/>
      <c r="G59" s="63"/>
      <c r="H59" s="63"/>
      <c r="I59" s="63"/>
      <c r="J59" s="63"/>
      <c r="K59" s="231">
        <f t="shared" si="9"/>
        <v>0</v>
      </c>
      <c r="L59" s="63"/>
      <c r="M59" s="63"/>
      <c r="N59" s="62">
        <f t="shared" si="5"/>
        <v>0</v>
      </c>
    </row>
    <row r="60" spans="1:14" x14ac:dyDescent="0.2">
      <c r="A60" s="674"/>
      <c r="C60" s="63"/>
      <c r="D60" s="63"/>
      <c r="E60" s="63"/>
      <c r="F60" s="63"/>
      <c r="G60" s="63"/>
      <c r="H60" s="63"/>
      <c r="I60" s="63"/>
      <c r="J60" s="63"/>
      <c r="K60" s="231">
        <f t="shared" si="9"/>
        <v>0</v>
      </c>
      <c r="L60" s="63"/>
      <c r="M60" s="63"/>
      <c r="N60" s="62">
        <f t="shared" si="5"/>
        <v>0</v>
      </c>
    </row>
    <row r="61" spans="1:14" x14ac:dyDescent="0.2">
      <c r="A61" s="674"/>
      <c r="C61" s="63"/>
      <c r="D61" s="63"/>
      <c r="E61" s="63"/>
      <c r="F61" s="63"/>
      <c r="G61" s="63"/>
      <c r="H61" s="63"/>
      <c r="I61" s="63"/>
      <c r="J61" s="63"/>
      <c r="K61" s="231">
        <f t="shared" si="9"/>
        <v>0</v>
      </c>
      <c r="L61" s="63"/>
      <c r="M61" s="63"/>
      <c r="N61" s="62">
        <f t="shared" si="5"/>
        <v>0</v>
      </c>
    </row>
    <row r="62" spans="1:14" x14ac:dyDescent="0.2">
      <c r="A62" s="674"/>
      <c r="C62" s="63"/>
      <c r="D62" s="63"/>
      <c r="E62" s="63"/>
      <c r="F62" s="63"/>
      <c r="G62" s="63"/>
      <c r="H62" s="63"/>
      <c r="I62" s="63"/>
      <c r="J62" s="63"/>
      <c r="K62" s="231">
        <f t="shared" si="9"/>
        <v>0</v>
      </c>
      <c r="L62" s="63"/>
      <c r="M62" s="63"/>
      <c r="N62" s="62">
        <f t="shared" si="5"/>
        <v>0</v>
      </c>
    </row>
    <row r="63" spans="1:14" x14ac:dyDescent="0.2">
      <c r="A63" s="674"/>
      <c r="C63" s="63"/>
      <c r="D63" s="63"/>
      <c r="E63" s="63"/>
      <c r="F63" s="63"/>
      <c r="G63" s="63"/>
      <c r="H63" s="63"/>
      <c r="I63" s="63"/>
      <c r="J63" s="63"/>
      <c r="K63" s="231">
        <f t="shared" si="9"/>
        <v>0</v>
      </c>
      <c r="L63" s="63"/>
      <c r="M63" s="63"/>
      <c r="N63" s="62">
        <f t="shared" si="5"/>
        <v>0</v>
      </c>
    </row>
    <row r="64" spans="1:14" x14ac:dyDescent="0.2">
      <c r="A64" s="674"/>
      <c r="C64" s="63"/>
      <c r="D64" s="63"/>
      <c r="E64" s="63"/>
      <c r="F64" s="63"/>
      <c r="G64" s="63"/>
      <c r="H64" s="63"/>
      <c r="I64" s="63"/>
      <c r="J64" s="63"/>
      <c r="K64" s="231">
        <f t="shared" si="9"/>
        <v>0</v>
      </c>
      <c r="L64" s="63"/>
      <c r="M64" s="63"/>
      <c r="N64" s="62">
        <f t="shared" si="5"/>
        <v>0</v>
      </c>
    </row>
    <row r="65" spans="1:14" x14ac:dyDescent="0.2">
      <c r="A65" s="674"/>
      <c r="C65" s="63"/>
      <c r="D65" s="63"/>
      <c r="E65" s="63"/>
      <c r="F65" s="63"/>
      <c r="G65" s="63"/>
      <c r="H65" s="63"/>
      <c r="I65" s="63"/>
      <c r="J65" s="63"/>
      <c r="K65" s="231">
        <f t="shared" si="9"/>
        <v>0</v>
      </c>
      <c r="L65" s="63"/>
      <c r="M65" s="63"/>
      <c r="N65" s="62">
        <f t="shared" si="5"/>
        <v>0</v>
      </c>
    </row>
    <row r="66" spans="1:14" x14ac:dyDescent="0.2">
      <c r="A66" s="674"/>
      <c r="C66" s="63"/>
      <c r="D66" s="63"/>
      <c r="E66" s="63"/>
      <c r="F66" s="63"/>
      <c r="G66" s="63"/>
      <c r="H66" s="63"/>
      <c r="I66" s="63"/>
      <c r="J66" s="63"/>
      <c r="K66" s="231">
        <f t="shared" si="9"/>
        <v>0</v>
      </c>
      <c r="L66" s="63"/>
      <c r="M66" s="63"/>
      <c r="N66" s="62">
        <f t="shared" si="5"/>
        <v>0</v>
      </c>
    </row>
    <row r="67" spans="1:14" x14ac:dyDescent="0.2">
      <c r="A67" s="674"/>
      <c r="C67" s="63"/>
      <c r="D67" s="63"/>
      <c r="E67" s="63"/>
      <c r="F67" s="63"/>
      <c r="G67" s="63"/>
      <c r="H67" s="63"/>
      <c r="I67" s="63"/>
      <c r="J67" s="63"/>
      <c r="K67" s="231">
        <f>SUM(C67:J67)</f>
        <v>0</v>
      </c>
      <c r="L67" s="63"/>
      <c r="M67" s="63"/>
      <c r="N67" s="62">
        <f t="shared" si="5"/>
        <v>0</v>
      </c>
    </row>
    <row r="68" spans="1:14" x14ac:dyDescent="0.2">
      <c r="A68" s="674"/>
      <c r="C68" s="63"/>
      <c r="D68" s="63"/>
      <c r="E68" s="63"/>
      <c r="F68" s="63"/>
      <c r="G68" s="63"/>
      <c r="H68" s="63"/>
      <c r="I68" s="63"/>
      <c r="J68" s="63"/>
      <c r="K68" s="231">
        <f>SUM(C68:J68)</f>
        <v>0</v>
      </c>
      <c r="L68" s="63"/>
      <c r="M68" s="63"/>
      <c r="N68" s="62">
        <f t="shared" si="5"/>
        <v>0</v>
      </c>
    </row>
    <row r="69" spans="1:14" x14ac:dyDescent="0.2">
      <c r="A69" s="674"/>
      <c r="C69" s="63"/>
      <c r="D69" s="63"/>
      <c r="E69" s="63"/>
      <c r="F69" s="63"/>
      <c r="G69" s="63"/>
      <c r="H69" s="63"/>
      <c r="I69" s="63"/>
      <c r="J69" s="63"/>
      <c r="K69" s="231">
        <f>SUM(C69:J69)</f>
        <v>0</v>
      </c>
      <c r="L69" s="63"/>
      <c r="M69" s="63"/>
      <c r="N69" s="62">
        <f t="shared" si="5"/>
        <v>0</v>
      </c>
    </row>
    <row r="70" spans="1:14" ht="13.5" thickBot="1" x14ac:dyDescent="0.25">
      <c r="A70" s="58" t="s">
        <v>344</v>
      </c>
      <c r="B70" s="58" t="s">
        <v>503</v>
      </c>
      <c r="C70" s="232">
        <f>IF(SUM(C35:C69)='Combining FST'!G25+'Combining FST'!G41,SUM(C35:C69),"ERROR")</f>
        <v>0</v>
      </c>
      <c r="D70" s="232">
        <f>IF(SUM(D35:D69)='Combining FST'!H25+'Combining FST'!H41,SUM(D35:D69),"ERROR")</f>
        <v>0</v>
      </c>
      <c r="E70" s="232">
        <f>IF(SUM(E35:E69)='Combining FST'!I25+'Combining FST'!I41,SUM(E35:E69),"ERROR")</f>
        <v>0</v>
      </c>
      <c r="F70" s="232">
        <f>IF(SUM(F35:F69)='Combining FST'!J25+'Combining FST'!J41,SUM(F35:F69),"ERROR")</f>
        <v>0</v>
      </c>
      <c r="G70" s="232">
        <f>IF(SUM(G35:G69)='Combining FST'!K25+'Combining FST'!K41,SUM(G35:G69),"ERROR")</f>
        <v>0</v>
      </c>
      <c r="H70" s="232">
        <f>IF(SUM(H35:H69)='Combining FST'!L25+'Combining FST'!L41,SUM(H35:H69),"ERROR")</f>
        <v>0</v>
      </c>
      <c r="I70" s="232">
        <f>IF(SUM(I35:I69)='Combining FST'!M25+'Combining FST'!M41,SUM(I35:I69),"ERROR")</f>
        <v>0</v>
      </c>
      <c r="J70" s="232">
        <f>IF(SUM(J35:J69)='Combining FST'!N25+'Combining FST'!N41,SUM(J35:J69),"ERROR")</f>
        <v>0</v>
      </c>
      <c r="K70" s="232">
        <f>IF(SUM(K35:K69)='Combining FST'!O25+'Combining FST'!O41,SUM(K35:K69),"ERROR")</f>
        <v>0</v>
      </c>
      <c r="L70" s="232">
        <f>IF(SUM(L35:L69)='Combining FST'!P25+'Combining FST'!P41,SUM(L35:L69),"ERROR")</f>
        <v>0</v>
      </c>
      <c r="M70" s="232">
        <f>IF(SUM(M35:M69)='Elimination Entries to FST'!I41+'Elimination Entries to FST'!I89,SUM(M35:M69),"ERROR")</f>
        <v>0</v>
      </c>
      <c r="N70" s="232">
        <f>IF(SUM(N35:N69)=FST!J41+FST!J89,SUM(N35:N69),"ERROR")</f>
        <v>0</v>
      </c>
    </row>
    <row r="71" spans="1:14" ht="13.5" thickTop="1" x14ac:dyDescent="0.2">
      <c r="C71" s="369" t="s">
        <v>636</v>
      </c>
      <c r="D71" s="369" t="s">
        <v>636</v>
      </c>
      <c r="E71" s="369" t="s">
        <v>636</v>
      </c>
      <c r="F71" s="369" t="s">
        <v>636</v>
      </c>
      <c r="G71" s="369" t="s">
        <v>636</v>
      </c>
      <c r="H71" s="369" t="s">
        <v>636</v>
      </c>
      <c r="I71" s="369" t="s">
        <v>636</v>
      </c>
      <c r="J71" s="369" t="s">
        <v>636</v>
      </c>
      <c r="K71" s="369" t="s">
        <v>636</v>
      </c>
      <c r="L71" s="369" t="s">
        <v>636</v>
      </c>
      <c r="M71" s="369" t="s">
        <v>637</v>
      </c>
      <c r="N71" s="369" t="s">
        <v>220</v>
      </c>
    </row>
    <row r="72" spans="1:14" x14ac:dyDescent="0.2">
      <c r="B72" s="451" t="s">
        <v>819</v>
      </c>
      <c r="C72" s="452">
        <f>SUM(C35:C69)</f>
        <v>0</v>
      </c>
      <c r="D72" s="452">
        <f t="shared" ref="D72:M72" si="10">SUM(D35:D69)</f>
        <v>0</v>
      </c>
      <c r="E72" s="452">
        <f t="shared" si="10"/>
        <v>0</v>
      </c>
      <c r="F72" s="452">
        <f t="shared" si="10"/>
        <v>0</v>
      </c>
      <c r="G72" s="452">
        <f t="shared" si="10"/>
        <v>0</v>
      </c>
      <c r="H72" s="452">
        <f t="shared" si="10"/>
        <v>0</v>
      </c>
      <c r="I72" s="452">
        <f t="shared" si="10"/>
        <v>0</v>
      </c>
      <c r="J72" s="452">
        <f t="shared" si="10"/>
        <v>0</v>
      </c>
      <c r="K72" s="452">
        <f t="shared" si="10"/>
        <v>0</v>
      </c>
      <c r="L72" s="452">
        <f t="shared" si="10"/>
        <v>0</v>
      </c>
      <c r="M72" s="452">
        <f t="shared" si="10"/>
        <v>0</v>
      </c>
      <c r="N72" s="452">
        <f>SUM(N35:N69)</f>
        <v>0</v>
      </c>
    </row>
    <row r="73" spans="1:14" x14ac:dyDescent="0.2">
      <c r="B73" s="451" t="s">
        <v>695</v>
      </c>
      <c r="C73" s="452">
        <f>SUM('Combining FST'!G25,'Combining FST'!G41)-'TAB F1,  Cash,  Cash Eqv &amp; Inv'!C72</f>
        <v>0</v>
      </c>
      <c r="D73" s="452">
        <f>SUM('Combining FST'!H25,'Combining FST'!H41)-'TAB F1,  Cash,  Cash Eqv &amp; Inv'!D72</f>
        <v>0</v>
      </c>
      <c r="E73" s="452">
        <f>SUM('Combining FST'!I25,'Combining FST'!I41)-'TAB F1,  Cash,  Cash Eqv &amp; Inv'!E72</f>
        <v>0</v>
      </c>
      <c r="F73" s="452">
        <f>SUM('Combining FST'!J25,'Combining FST'!J41)-'TAB F1,  Cash,  Cash Eqv &amp; Inv'!F72</f>
        <v>0</v>
      </c>
      <c r="G73" s="452">
        <f>SUM('Combining FST'!K25,'Combining FST'!K41)-'TAB F1,  Cash,  Cash Eqv &amp; Inv'!G72</f>
        <v>0</v>
      </c>
      <c r="H73" s="452">
        <f>SUM('Combining FST'!L25,'Combining FST'!L41)-'TAB F1,  Cash,  Cash Eqv &amp; Inv'!H72</f>
        <v>0</v>
      </c>
      <c r="I73" s="452">
        <f>SUM('Combining FST'!M25,'Combining FST'!M41)-'TAB F1,  Cash,  Cash Eqv &amp; Inv'!I72</f>
        <v>0</v>
      </c>
      <c r="J73" s="452">
        <f>SUM('Combining FST'!N25,'Combining FST'!N41)-'TAB F1,  Cash,  Cash Eqv &amp; Inv'!J72</f>
        <v>0</v>
      </c>
      <c r="K73" s="452">
        <f>SUM('Combining FST'!O25,'Combining FST'!O41)-'TAB F1,  Cash,  Cash Eqv &amp; Inv'!K72</f>
        <v>0</v>
      </c>
      <c r="L73" s="452">
        <f>SUM('Combining FST'!P25,'Combining FST'!P41)-'TAB F1,  Cash,  Cash Eqv &amp; Inv'!L72</f>
        <v>0</v>
      </c>
      <c r="M73" s="452">
        <f>SUM('Elimination Entries to FST'!I41,'Elimination Entries to FST'!I89)-'TAB F1,  Cash,  Cash Eqv &amp; Inv'!M72</f>
        <v>0</v>
      </c>
      <c r="N73" s="452">
        <f>SUM(FST!J41,FST!J89)-'TAB F1,  Cash,  Cash Eqv &amp; Inv'!N72</f>
        <v>0</v>
      </c>
    </row>
    <row r="74" spans="1:14" ht="70.5" customHeight="1" x14ac:dyDescent="0.2">
      <c r="A74" s="1551" t="s">
        <v>728</v>
      </c>
      <c r="B74" s="1166"/>
      <c r="C74" s="1166"/>
      <c r="D74" s="1166"/>
      <c r="E74" s="1166"/>
      <c r="F74" s="1167"/>
      <c r="I74" s="62"/>
      <c r="J74" s="60"/>
    </row>
    <row r="75" spans="1:14" ht="57" customHeight="1" x14ac:dyDescent="0.2">
      <c r="A75" s="1551" t="s">
        <v>515</v>
      </c>
      <c r="B75" s="1166"/>
      <c r="C75" s="1166"/>
      <c r="D75" s="1166"/>
      <c r="E75" s="1166"/>
      <c r="F75" s="1167"/>
      <c r="I75" s="62"/>
      <c r="J75" s="60"/>
    </row>
    <row r="76" spans="1:14" ht="69.75" customHeight="1" x14ac:dyDescent="0.2">
      <c r="A76" s="1552" t="s">
        <v>269</v>
      </c>
      <c r="B76" s="1552"/>
      <c r="C76" s="1552"/>
      <c r="D76" s="1552"/>
      <c r="E76" s="1552"/>
      <c r="F76" s="1552"/>
      <c r="I76" s="62"/>
      <c r="J76" s="60"/>
    </row>
    <row r="77" spans="1:14" x14ac:dyDescent="0.2">
      <c r="I77" s="62"/>
      <c r="J77" s="60"/>
    </row>
    <row r="78" spans="1:14" ht="100.5" customHeight="1" x14ac:dyDescent="0.2">
      <c r="A78" s="971" t="s">
        <v>1115</v>
      </c>
      <c r="B78" s="223" t="s">
        <v>59</v>
      </c>
      <c r="C78" s="580" t="str">
        <f>IF(C70=0,"N/A","Answer Required")</f>
        <v>N/A</v>
      </c>
      <c r="D78" s="580" t="str">
        <f t="shared" ref="D78:J78" si="11">IF(D70=0,"N/A","Answer Required")</f>
        <v>N/A</v>
      </c>
      <c r="E78" s="580" t="str">
        <f t="shared" si="11"/>
        <v>N/A</v>
      </c>
      <c r="F78" s="580" t="str">
        <f t="shared" si="11"/>
        <v>N/A</v>
      </c>
      <c r="G78" s="580" t="str">
        <f t="shared" si="11"/>
        <v>N/A</v>
      </c>
      <c r="H78" s="580" t="str">
        <f t="shared" si="11"/>
        <v>N/A</v>
      </c>
      <c r="I78" s="580" t="str">
        <f t="shared" si="11"/>
        <v>N/A</v>
      </c>
      <c r="J78" s="580" t="str">
        <f t="shared" si="11"/>
        <v>N/A</v>
      </c>
      <c r="K78" s="227"/>
      <c r="L78" s="227"/>
      <c r="M78" s="227"/>
      <c r="N78" s="227"/>
    </row>
    <row r="79" spans="1:14" x14ac:dyDescent="0.2">
      <c r="I79" s="62"/>
      <c r="J79" s="60"/>
    </row>
    <row r="80" spans="1:14" s="346" customFormat="1" ht="37.5" hidden="1" customHeight="1" x14ac:dyDescent="0.2">
      <c r="A80" s="1548" t="s">
        <v>638</v>
      </c>
      <c r="B80" s="1549"/>
      <c r="C80" s="1549"/>
      <c r="D80" s="1549"/>
      <c r="E80" s="1549"/>
      <c r="F80" s="1549"/>
      <c r="G80" s="324"/>
      <c r="I80" s="324"/>
    </row>
    <row r="81" spans="1:11" s="346" customFormat="1" hidden="1" x14ac:dyDescent="0.2">
      <c r="A81" s="969"/>
      <c r="B81" s="970"/>
      <c r="C81" s="970"/>
      <c r="D81" s="970"/>
      <c r="E81" s="970"/>
      <c r="F81" s="355"/>
    </row>
    <row r="82" spans="1:11" s="346" customFormat="1" hidden="1" x14ac:dyDescent="0.2">
      <c r="A82" s="969"/>
      <c r="B82" s="970"/>
      <c r="C82" s="970"/>
      <c r="D82" s="970"/>
      <c r="E82" s="970"/>
      <c r="F82" s="347" t="s">
        <v>56</v>
      </c>
    </row>
    <row r="83" spans="1:11" s="346" customFormat="1" hidden="1" x14ac:dyDescent="0.2">
      <c r="A83" s="346" t="s">
        <v>57</v>
      </c>
    </row>
    <row r="84" spans="1:11" s="346" customFormat="1" hidden="1" x14ac:dyDescent="0.2"/>
    <row r="85" spans="1:11" s="346" customFormat="1" ht="45.75" hidden="1" customHeight="1" x14ac:dyDescent="0.2">
      <c r="A85" s="1548" t="s">
        <v>639</v>
      </c>
      <c r="B85" s="1549"/>
      <c r="C85" s="1549"/>
      <c r="D85" s="1549"/>
      <c r="E85" s="1549"/>
      <c r="F85" s="1549"/>
    </row>
    <row r="86" spans="1:11" s="346" customFormat="1" hidden="1" x14ac:dyDescent="0.2"/>
    <row r="87" spans="1:11" s="346" customFormat="1" hidden="1" x14ac:dyDescent="0.2"/>
    <row r="88" spans="1:11" s="346" customFormat="1" hidden="1" x14ac:dyDescent="0.2">
      <c r="C88" s="348" t="s">
        <v>58</v>
      </c>
      <c r="D88" s="348" t="s">
        <v>58</v>
      </c>
      <c r="E88" s="348" t="s">
        <v>58</v>
      </c>
      <c r="F88" s="348" t="s">
        <v>58</v>
      </c>
      <c r="G88" s="348" t="s">
        <v>58</v>
      </c>
      <c r="H88" s="348" t="s">
        <v>58</v>
      </c>
      <c r="I88" s="348" t="s">
        <v>58</v>
      </c>
      <c r="J88" s="348" t="s">
        <v>58</v>
      </c>
      <c r="K88" s="348" t="s">
        <v>373</v>
      </c>
    </row>
    <row r="89" spans="1:11" s="346" customFormat="1" hidden="1" x14ac:dyDescent="0.2">
      <c r="A89" s="346" t="s">
        <v>145</v>
      </c>
    </row>
    <row r="90" spans="1:11" s="346" customFormat="1" hidden="1" x14ac:dyDescent="0.2">
      <c r="A90" s="346" t="s">
        <v>146</v>
      </c>
      <c r="B90" s="346" t="s">
        <v>503</v>
      </c>
      <c r="C90" s="349"/>
      <c r="D90" s="349"/>
      <c r="E90" s="349"/>
      <c r="F90" s="349"/>
      <c r="G90" s="349"/>
      <c r="H90" s="349"/>
      <c r="I90" s="349"/>
      <c r="J90" s="349"/>
      <c r="K90" s="349">
        <f t="shared" ref="K90:K103" si="12">SUM(C90:J90)</f>
        <v>0</v>
      </c>
    </row>
    <row r="91" spans="1:11" s="346" customFormat="1" hidden="1" x14ac:dyDescent="0.2">
      <c r="A91" s="346" t="s">
        <v>147</v>
      </c>
      <c r="C91" s="349"/>
      <c r="D91" s="349"/>
      <c r="E91" s="349"/>
      <c r="F91" s="349"/>
      <c r="G91" s="349"/>
      <c r="H91" s="349"/>
      <c r="I91" s="349"/>
      <c r="J91" s="349"/>
      <c r="K91" s="349">
        <f t="shared" si="12"/>
        <v>0</v>
      </c>
    </row>
    <row r="92" spans="1:11" s="346" customFormat="1" hidden="1" x14ac:dyDescent="0.2">
      <c r="A92" s="346" t="s">
        <v>148</v>
      </c>
      <c r="C92" s="349"/>
      <c r="D92" s="349"/>
      <c r="E92" s="349"/>
      <c r="F92" s="349"/>
      <c r="G92" s="349"/>
      <c r="H92" s="349"/>
      <c r="I92" s="349"/>
      <c r="J92" s="349"/>
      <c r="K92" s="349">
        <f t="shared" si="12"/>
        <v>0</v>
      </c>
    </row>
    <row r="93" spans="1:11" s="346" customFormat="1" hidden="1" x14ac:dyDescent="0.2">
      <c r="A93" s="346" t="s">
        <v>149</v>
      </c>
      <c r="C93" s="349"/>
      <c r="D93" s="349"/>
      <c r="E93" s="349"/>
      <c r="F93" s="349"/>
      <c r="G93" s="349"/>
      <c r="H93" s="349"/>
      <c r="I93" s="349"/>
      <c r="J93" s="349"/>
      <c r="K93" s="349">
        <f t="shared" si="12"/>
        <v>0</v>
      </c>
    </row>
    <row r="94" spans="1:11" s="346" customFormat="1" hidden="1" x14ac:dyDescent="0.2">
      <c r="A94" s="346" t="s">
        <v>150</v>
      </c>
      <c r="C94" s="349"/>
      <c r="D94" s="349"/>
      <c r="E94" s="349"/>
      <c r="F94" s="349"/>
      <c r="G94" s="349"/>
      <c r="H94" s="349"/>
      <c r="I94" s="349"/>
      <c r="J94" s="349"/>
      <c r="K94" s="349">
        <f t="shared" si="12"/>
        <v>0</v>
      </c>
    </row>
    <row r="95" spans="1:11" s="346" customFormat="1" hidden="1" x14ac:dyDescent="0.2">
      <c r="A95" s="346" t="s">
        <v>451</v>
      </c>
      <c r="C95" s="349"/>
      <c r="D95" s="349"/>
      <c r="E95" s="349"/>
      <c r="F95" s="349"/>
      <c r="G95" s="349"/>
      <c r="H95" s="349"/>
      <c r="I95" s="349"/>
      <c r="J95" s="349"/>
      <c r="K95" s="349">
        <f t="shared" si="12"/>
        <v>0</v>
      </c>
    </row>
    <row r="96" spans="1:11" s="346" customFormat="1" hidden="1" x14ac:dyDescent="0.2">
      <c r="A96" s="346" t="s">
        <v>151</v>
      </c>
      <c r="C96" s="349"/>
      <c r="D96" s="349"/>
      <c r="E96" s="349"/>
      <c r="F96" s="349"/>
      <c r="G96" s="349"/>
      <c r="H96" s="349"/>
      <c r="I96" s="349"/>
      <c r="J96" s="349"/>
      <c r="K96" s="349">
        <f t="shared" si="12"/>
        <v>0</v>
      </c>
    </row>
    <row r="97" spans="1:11" s="346" customFormat="1" hidden="1" x14ac:dyDescent="0.2">
      <c r="A97" s="346" t="s">
        <v>152</v>
      </c>
      <c r="C97" s="349"/>
      <c r="D97" s="349"/>
      <c r="E97" s="349"/>
      <c r="F97" s="349"/>
      <c r="G97" s="349"/>
      <c r="H97" s="349"/>
      <c r="I97" s="349"/>
      <c r="J97" s="349"/>
      <c r="K97" s="349">
        <f t="shared" si="12"/>
        <v>0</v>
      </c>
    </row>
    <row r="98" spans="1:11" s="346" customFormat="1" hidden="1" x14ac:dyDescent="0.2">
      <c r="A98" s="346" t="s">
        <v>401</v>
      </c>
      <c r="C98" s="349"/>
      <c r="D98" s="349"/>
      <c r="E98" s="349"/>
      <c r="F98" s="349"/>
      <c r="G98" s="349"/>
      <c r="H98" s="349"/>
      <c r="I98" s="349"/>
      <c r="J98" s="349"/>
      <c r="K98" s="349">
        <f t="shared" si="12"/>
        <v>0</v>
      </c>
    </row>
    <row r="99" spans="1:11" s="346" customFormat="1" hidden="1" x14ac:dyDescent="0.2">
      <c r="A99" s="346" t="s">
        <v>232</v>
      </c>
      <c r="C99" s="349"/>
      <c r="D99" s="349"/>
      <c r="E99" s="349"/>
      <c r="F99" s="349"/>
      <c r="G99" s="349"/>
      <c r="H99" s="349"/>
      <c r="I99" s="349"/>
      <c r="J99" s="349"/>
      <c r="K99" s="349">
        <f t="shared" si="12"/>
        <v>0</v>
      </c>
    </row>
    <row r="100" spans="1:11" s="346" customFormat="1" hidden="1" x14ac:dyDescent="0.2">
      <c r="A100" s="346" t="s">
        <v>452</v>
      </c>
      <c r="C100" s="349"/>
      <c r="D100" s="349"/>
      <c r="E100" s="349"/>
      <c r="F100" s="349"/>
      <c r="G100" s="349"/>
      <c r="H100" s="349"/>
      <c r="I100" s="349"/>
      <c r="J100" s="349"/>
      <c r="K100" s="349">
        <f t="shared" si="12"/>
        <v>0</v>
      </c>
    </row>
    <row r="101" spans="1:11" s="346" customFormat="1" hidden="1" x14ac:dyDescent="0.2">
      <c r="A101" s="346" t="s">
        <v>233</v>
      </c>
      <c r="C101" s="349"/>
      <c r="D101" s="349"/>
      <c r="E101" s="349"/>
      <c r="F101" s="349"/>
      <c r="G101" s="349"/>
      <c r="H101" s="349"/>
      <c r="I101" s="349"/>
      <c r="J101" s="349"/>
      <c r="K101" s="349">
        <f t="shared" si="12"/>
        <v>0</v>
      </c>
    </row>
    <row r="102" spans="1:11" s="346" customFormat="1" hidden="1" x14ac:dyDescent="0.2">
      <c r="A102" s="346" t="s">
        <v>154</v>
      </c>
      <c r="C102" s="349"/>
      <c r="D102" s="349"/>
      <c r="E102" s="349"/>
      <c r="F102" s="349"/>
      <c r="G102" s="349"/>
      <c r="H102" s="349"/>
      <c r="I102" s="349"/>
      <c r="J102" s="349"/>
      <c r="K102" s="349">
        <f t="shared" si="12"/>
        <v>0</v>
      </c>
    </row>
    <row r="103" spans="1:11" s="346" customFormat="1" hidden="1" x14ac:dyDescent="0.2">
      <c r="A103" s="346" t="s">
        <v>153</v>
      </c>
      <c r="C103" s="349"/>
      <c r="D103" s="349"/>
      <c r="E103" s="349"/>
      <c r="F103" s="349"/>
      <c r="G103" s="349"/>
      <c r="H103" s="349"/>
      <c r="I103" s="349"/>
      <c r="J103" s="349"/>
      <c r="K103" s="349">
        <f t="shared" si="12"/>
        <v>0</v>
      </c>
    </row>
    <row r="104" spans="1:11" s="346" customFormat="1" hidden="1" x14ac:dyDescent="0.2">
      <c r="A104" s="346" t="s">
        <v>55</v>
      </c>
      <c r="C104" s="350"/>
      <c r="D104" s="350"/>
      <c r="E104" s="350"/>
      <c r="F104" s="350"/>
      <c r="G104" s="350"/>
      <c r="H104" s="350"/>
      <c r="I104" s="350"/>
      <c r="J104" s="350"/>
      <c r="K104" s="350"/>
    </row>
    <row r="105" spans="1:11" s="346" customFormat="1" hidden="1" x14ac:dyDescent="0.2">
      <c r="A105" s="356"/>
      <c r="C105" s="349"/>
      <c r="D105" s="349"/>
      <c r="E105" s="349"/>
      <c r="F105" s="349"/>
      <c r="G105" s="349"/>
      <c r="H105" s="349"/>
      <c r="I105" s="349"/>
      <c r="J105" s="357"/>
      <c r="K105" s="349">
        <f>SUM(C105:J105)</f>
        <v>0</v>
      </c>
    </row>
    <row r="106" spans="1:11" s="346" customFormat="1" hidden="1" x14ac:dyDescent="0.2">
      <c r="A106" s="356"/>
      <c r="C106" s="349"/>
      <c r="D106" s="349"/>
      <c r="E106" s="349"/>
      <c r="F106" s="349"/>
      <c r="G106" s="349"/>
      <c r="H106" s="349"/>
      <c r="I106" s="349"/>
      <c r="J106" s="357"/>
      <c r="K106" s="349">
        <f>SUM(C106:J106)</f>
        <v>0</v>
      </c>
    </row>
    <row r="107" spans="1:11" s="346" customFormat="1" hidden="1" x14ac:dyDescent="0.2">
      <c r="A107" s="356"/>
      <c r="C107" s="349"/>
      <c r="D107" s="349"/>
      <c r="E107" s="349"/>
      <c r="F107" s="349"/>
      <c r="G107" s="349"/>
      <c r="H107" s="349"/>
      <c r="I107" s="349"/>
      <c r="J107" s="357"/>
      <c r="K107" s="349">
        <f>SUM(C107:J107)</f>
        <v>0</v>
      </c>
    </row>
    <row r="108" spans="1:11" s="346" customFormat="1" hidden="1" x14ac:dyDescent="0.2">
      <c r="A108" s="356"/>
      <c r="C108" s="349"/>
      <c r="D108" s="349"/>
      <c r="E108" s="349"/>
      <c r="F108" s="349"/>
      <c r="G108" s="349"/>
      <c r="H108" s="349"/>
      <c r="I108" s="349"/>
      <c r="J108" s="357"/>
      <c r="K108" s="349">
        <f>SUM(C108:J108)</f>
        <v>0</v>
      </c>
    </row>
    <row r="109" spans="1:11" s="346" customFormat="1" hidden="1" x14ac:dyDescent="0.2">
      <c r="A109" s="356"/>
      <c r="C109" s="349"/>
      <c r="D109" s="349"/>
      <c r="E109" s="349"/>
      <c r="F109" s="349"/>
      <c r="G109" s="349"/>
      <c r="H109" s="349"/>
      <c r="I109" s="349"/>
      <c r="J109" s="357"/>
      <c r="K109" s="349">
        <f>SUM(C109:J109)</f>
        <v>0</v>
      </c>
    </row>
    <row r="110" spans="1:11" s="346" customFormat="1" ht="13.5" hidden="1" thickBot="1" x14ac:dyDescent="0.25">
      <c r="B110" s="346" t="s">
        <v>503</v>
      </c>
      <c r="C110" s="351">
        <f t="shared" ref="C110:K110" si="13">SUM(C90:C109)</f>
        <v>0</v>
      </c>
      <c r="D110" s="351">
        <f t="shared" si="13"/>
        <v>0</v>
      </c>
      <c r="E110" s="351">
        <f t="shared" si="13"/>
        <v>0</v>
      </c>
      <c r="F110" s="351">
        <f t="shared" si="13"/>
        <v>0</v>
      </c>
      <c r="G110" s="351">
        <f t="shared" si="13"/>
        <v>0</v>
      </c>
      <c r="H110" s="351">
        <f t="shared" si="13"/>
        <v>0</v>
      </c>
      <c r="I110" s="351">
        <f t="shared" si="13"/>
        <v>0</v>
      </c>
      <c r="J110" s="351">
        <f t="shared" si="13"/>
        <v>0</v>
      </c>
      <c r="K110" s="351">
        <f t="shared" si="13"/>
        <v>0</v>
      </c>
    </row>
    <row r="111" spans="1:11" s="346" customFormat="1" ht="13.5" hidden="1" thickTop="1" x14ac:dyDescent="0.2"/>
    <row r="114" spans="1:10" s="222" customFormat="1" ht="109.5" customHeight="1" x14ac:dyDescent="0.2">
      <c r="A114" s="968" t="s">
        <v>1290</v>
      </c>
      <c r="B114" s="223" t="s">
        <v>59</v>
      </c>
      <c r="C114" s="287" t="str">
        <f>IF(C20=0,"N/A","Answer Required")</f>
        <v>N/A</v>
      </c>
      <c r="D114" s="287" t="str">
        <f t="shared" ref="D114:J114" si="14">IF(D20=0,"N/A","Answer Required")</f>
        <v>N/A</v>
      </c>
      <c r="E114" s="287" t="str">
        <f t="shared" si="14"/>
        <v>N/A</v>
      </c>
      <c r="F114" s="287" t="str">
        <f t="shared" si="14"/>
        <v>N/A</v>
      </c>
      <c r="G114" s="287" t="str">
        <f t="shared" si="14"/>
        <v>N/A</v>
      </c>
      <c r="H114" s="287" t="str">
        <f t="shared" si="14"/>
        <v>N/A</v>
      </c>
      <c r="I114" s="287" t="str">
        <f t="shared" si="14"/>
        <v>N/A</v>
      </c>
      <c r="J114" s="287" t="str">
        <f t="shared" si="14"/>
        <v>N/A</v>
      </c>
    </row>
    <row r="115" spans="1:10" s="222" customFormat="1" ht="22.5" customHeight="1" x14ac:dyDescent="0.2">
      <c r="A115" s="834" t="s">
        <v>1359</v>
      </c>
      <c r="B115" s="223"/>
    </row>
    <row r="116" spans="1:10" s="222" customFormat="1" x14ac:dyDescent="0.2">
      <c r="B116" s="223"/>
    </row>
    <row r="117" spans="1:10" s="222" customFormat="1" ht="90.75" customHeight="1" x14ac:dyDescent="0.2">
      <c r="A117" s="968" t="s">
        <v>933</v>
      </c>
      <c r="B117" s="223" t="s">
        <v>59</v>
      </c>
      <c r="C117" s="287" t="str">
        <f>IF(C20=0,"N/A","Answer Required")</f>
        <v>N/A</v>
      </c>
      <c r="D117" s="287" t="str">
        <f t="shared" ref="D117:J117" si="15">IF(D20=0,"N/A","Answer Required")</f>
        <v>N/A</v>
      </c>
      <c r="E117" s="287" t="str">
        <f t="shared" si="15"/>
        <v>N/A</v>
      </c>
      <c r="F117" s="287" t="str">
        <f t="shared" si="15"/>
        <v>N/A</v>
      </c>
      <c r="G117" s="287" t="str">
        <f t="shared" si="15"/>
        <v>N/A</v>
      </c>
      <c r="H117" s="287" t="str">
        <f t="shared" si="15"/>
        <v>N/A</v>
      </c>
      <c r="I117" s="287" t="str">
        <f t="shared" si="15"/>
        <v>N/A</v>
      </c>
      <c r="J117" s="287" t="str">
        <f t="shared" si="15"/>
        <v>N/A</v>
      </c>
    </row>
    <row r="118" spans="1:10" s="222" customFormat="1" ht="33" customHeight="1" x14ac:dyDescent="0.2">
      <c r="A118" s="228" t="s">
        <v>591</v>
      </c>
      <c r="B118" s="223"/>
    </row>
    <row r="119" spans="1:10" s="222" customFormat="1" x14ac:dyDescent="0.2">
      <c r="A119" s="225"/>
      <c r="B119" s="223"/>
    </row>
    <row r="120" spans="1:10" s="222" customFormat="1" x14ac:dyDescent="0.2">
      <c r="A120" s="225"/>
      <c r="B120" s="223"/>
      <c r="C120" s="58"/>
    </row>
    <row r="121" spans="1:10" s="332" customFormat="1" x14ac:dyDescent="0.2">
      <c r="A121" s="577"/>
      <c r="C121" s="578"/>
      <c r="D121" s="578"/>
      <c r="E121" s="578"/>
      <c r="F121" s="578"/>
      <c r="G121" s="578"/>
      <c r="H121" s="578"/>
      <c r="I121" s="578"/>
      <c r="J121" s="578"/>
    </row>
    <row r="122" spans="1:10" s="332" customFormat="1" x14ac:dyDescent="0.2">
      <c r="A122" s="577"/>
      <c r="C122" s="576"/>
      <c r="D122" s="576"/>
      <c r="E122" s="576"/>
      <c r="F122" s="576"/>
      <c r="G122" s="576"/>
      <c r="H122" s="576"/>
      <c r="I122" s="576"/>
      <c r="J122" s="576"/>
    </row>
    <row r="123" spans="1:10" s="332" customFormat="1" x14ac:dyDescent="0.2"/>
    <row r="124" spans="1:10" s="332" customFormat="1" x14ac:dyDescent="0.2"/>
    <row r="125" spans="1:10" s="332" customFormat="1" x14ac:dyDescent="0.2"/>
    <row r="127" spans="1:10" hidden="1" x14ac:dyDescent="0.2"/>
    <row r="128" spans="1:10" hidden="1" x14ac:dyDescent="0.2">
      <c r="C128" s="58" t="s">
        <v>375</v>
      </c>
    </row>
    <row r="129" spans="3:3" hidden="1" x14ac:dyDescent="0.2">
      <c r="C129" s="58" t="s">
        <v>155</v>
      </c>
    </row>
    <row r="130" spans="3:3" hidden="1" x14ac:dyDescent="0.2">
      <c r="C130" s="58" t="s">
        <v>156</v>
      </c>
    </row>
    <row r="131" spans="3:3" hidden="1" x14ac:dyDescent="0.2">
      <c r="C131" s="828" t="s">
        <v>380</v>
      </c>
    </row>
    <row r="132" spans="3:3" hidden="1" x14ac:dyDescent="0.2"/>
  </sheetData>
  <sheetProtection algorithmName="SHA-512" hashValue="+YXUfoeWsk9RGRYN9zW+dtZ70dlqFBfdcQ3wyOKR0Z81CrTM1RY/f2T8GJgTPxhAnX5hKtvas8ECcys89Fz+MA==" saltValue="YXcmJBPzoStXfnm7kNZq3g==" spinCount="100000" sheet="1" objects="1" scenarios="1"/>
  <mergeCells count="19">
    <mergeCell ref="C1:F1"/>
    <mergeCell ref="A85:F85"/>
    <mergeCell ref="A30:F30"/>
    <mergeCell ref="A80:F80"/>
    <mergeCell ref="A74:F74"/>
    <mergeCell ref="A75:F75"/>
    <mergeCell ref="A76:F76"/>
    <mergeCell ref="C6:F6"/>
    <mergeCell ref="A10:F10"/>
    <mergeCell ref="A11:F11"/>
    <mergeCell ref="C2:F2"/>
    <mergeCell ref="C3:F3"/>
    <mergeCell ref="C4:F4"/>
    <mergeCell ref="C5:F5"/>
    <mergeCell ref="L31:L34"/>
    <mergeCell ref="M31:M34"/>
    <mergeCell ref="K31:K34"/>
    <mergeCell ref="N31:N34"/>
    <mergeCell ref="A18:F18"/>
  </mergeCells>
  <phoneticPr fontId="12" type="noConversion"/>
  <conditionalFormatting sqref="A1:XFD1048576">
    <cfRule type="cellIs" dxfId="33" priority="1" operator="equal">
      <formula>"Answer Required"</formula>
    </cfRule>
  </conditionalFormatting>
  <dataValidations count="8">
    <dataValidation type="list" allowBlank="1" showInputMessage="1" showErrorMessage="1" error="Enter yes or no." sqref="F81 C23:J23" xr:uid="{00000000-0002-0000-1200-000000000000}">
      <formula1>$C$129:$C$130</formula1>
    </dataValidation>
    <dataValidation type="whole" allowBlank="1" showInputMessage="1" showErrorMessage="1" error="Enter whole dollar amount." sqref="C104:J104" xr:uid="{00000000-0002-0000-1200-000001000000}">
      <formula1>-10000000000000000</formula1>
      <formula2>10000000000000000</formula2>
    </dataValidation>
    <dataValidation type="whole" allowBlank="1" showInputMessage="1" showErrorMessage="1" error="Enter whole number." sqref="C90:J103 C105:J109" xr:uid="{00000000-0002-0000-1200-000002000000}">
      <formula1>-10000000000000000</formula1>
      <formula2>10000000000000000</formula2>
    </dataValidation>
    <dataValidation type="whole" allowBlank="1" showInputMessage="1" showErrorMessage="1" error="Enter whole number." sqref="C35:J53 L55:M69 C55:J69 L35:M53" xr:uid="{00000000-0002-0000-1200-000003000000}">
      <formula1>-100000000000000000</formula1>
      <formula2>100000000000000000</formula2>
    </dataValidation>
    <dataValidation allowBlank="1" showInputMessage="1" showErrorMessage="1" error="Enter yes or no." sqref="C121:J121" xr:uid="{00000000-0002-0000-1200-000004000000}"/>
    <dataValidation type="whole" allowBlank="1" showInputMessage="1" showErrorMessage="1" error="Enter a 3-digit agency control number." sqref="C1:F1" xr:uid="{00000000-0002-0000-1200-000005000000}">
      <formula1>100</formula1>
      <formula2>999</formula2>
    </dataValidation>
    <dataValidation type="list" allowBlank="1" showInputMessage="1" showErrorMessage="1" error="Enter yes, no, or n/a" sqref="C114:J114 C78:J78 C27:J27 C25:J25" xr:uid="{00000000-0002-0000-1200-000006000000}">
      <formula1>$C$129:$C$131</formula1>
    </dataValidation>
    <dataValidation type="list" allowBlank="1" showInputMessage="1" showErrorMessage="1" error="Enter yes, no or n/a" sqref="C117:J117" xr:uid="{00000000-0002-0000-1200-000008000000}">
      <formula1>$C$129:$C$131</formula1>
    </dataValidation>
  </dataValidations>
  <pageMargins left="0.95" right="0.7" top="1" bottom="0.75" header="0.3" footer="0.3"/>
  <pageSetup paperSize="5" scale="61" fitToHeight="0" orientation="landscape" cellComments="asDisplayed" r:id="rId1"/>
  <headerFooter alignWithMargins="0">
    <oddHeader>&amp;C&amp;"Arial,Bold"Attachment HE-10
Financial Statement Template
&amp;A</oddHeader>
    <oddFooter>&amp;L&amp;"Arial,Regular"&amp;F \ &amp;A&amp;R&amp;"Arial,Regular"Page &amp;P</oddFooter>
  </headerFooter>
  <rowBreaks count="2" manualBreakCount="2">
    <brk id="28" max="16383" man="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10"/>
  <sheetViews>
    <sheetView zoomScaleNormal="100" workbookViewId="0">
      <pane xSplit="8" ySplit="16" topLeftCell="I17" activePane="bottomRight" state="frozen"/>
      <selection pane="topRight" activeCell="I1" sqref="I1"/>
      <selection pane="bottomLeft" activeCell="A17" sqref="A17"/>
      <selection pane="bottomRight"/>
    </sheetView>
  </sheetViews>
  <sheetFormatPr defaultColWidth="10.6640625" defaultRowHeight="12.75" x14ac:dyDescent="0.2"/>
  <cols>
    <col min="1" max="1" width="4.6640625" style="545" customWidth="1"/>
    <col min="2" max="2" width="1.83203125" style="545" customWidth="1"/>
    <col min="3" max="3" width="0.6640625" style="545" customWidth="1"/>
    <col min="4" max="4" width="49.1640625" style="545" customWidth="1"/>
    <col min="5" max="5" width="23.83203125" style="548" customWidth="1"/>
    <col min="6" max="6" width="0.5" style="548" customWidth="1"/>
    <col min="7" max="7" width="19.5" style="3" customWidth="1"/>
    <col min="8" max="28" width="19.5" style="546" customWidth="1"/>
    <col min="29" max="29" width="10.6640625" style="546" customWidth="1"/>
    <col min="30" max="30" width="19.83203125" style="546" customWidth="1"/>
    <col min="31" max="16384" width="10.6640625" style="546"/>
  </cols>
  <sheetData>
    <row r="1" spans="1:28" x14ac:dyDescent="0.2">
      <c r="A1" s="824" t="s">
        <v>1721</v>
      </c>
      <c r="E1" s="809" t="s">
        <v>1258</v>
      </c>
      <c r="F1" s="553"/>
      <c r="G1" s="205"/>
      <c r="H1" s="595" t="s">
        <v>1193</v>
      </c>
      <c r="I1" s="595" t="s">
        <v>1159</v>
      </c>
      <c r="J1" s="595" t="s">
        <v>1195</v>
      </c>
      <c r="K1" s="595" t="s">
        <v>1200</v>
      </c>
      <c r="L1" s="595" t="s">
        <v>1179</v>
      </c>
      <c r="M1" s="595" t="s">
        <v>1175</v>
      </c>
      <c r="N1" s="595" t="s">
        <v>1177</v>
      </c>
      <c r="O1" s="595" t="s">
        <v>1207</v>
      </c>
      <c r="P1" s="595" t="s">
        <v>1173</v>
      </c>
      <c r="Q1" s="595" t="s">
        <v>1183</v>
      </c>
      <c r="R1" s="595" t="s">
        <v>1203</v>
      </c>
      <c r="S1" s="595" t="s">
        <v>1181</v>
      </c>
      <c r="T1" s="595" t="s">
        <v>1205</v>
      </c>
      <c r="U1" s="595" t="s">
        <v>1209</v>
      </c>
      <c r="V1" s="595" t="s">
        <v>1166</v>
      </c>
      <c r="W1" s="595" t="s">
        <v>1185</v>
      </c>
      <c r="X1" s="595" t="s">
        <v>1189</v>
      </c>
      <c r="Y1" s="595" t="s">
        <v>1197</v>
      </c>
      <c r="Z1" s="595" t="s">
        <v>1170</v>
      </c>
      <c r="AA1" s="595" t="s">
        <v>1169</v>
      </c>
      <c r="AB1" s="595" t="s">
        <v>1172</v>
      </c>
    </row>
    <row r="2" spans="1:28" x14ac:dyDescent="0.2">
      <c r="A2" s="554" t="s">
        <v>354</v>
      </c>
      <c r="B2" s="554"/>
      <c r="C2" s="554"/>
      <c r="D2" s="554"/>
      <c r="E2" s="550"/>
      <c r="F2" s="555"/>
      <c r="G2" s="194"/>
      <c r="H2" s="194"/>
      <c r="I2" s="194"/>
      <c r="J2" s="194"/>
      <c r="K2" s="194"/>
      <c r="L2" s="194"/>
      <c r="M2" s="194"/>
      <c r="N2" s="194"/>
      <c r="O2" s="194"/>
      <c r="P2" s="194"/>
      <c r="Q2" s="194"/>
      <c r="R2" s="194"/>
      <c r="S2" s="194"/>
      <c r="T2" s="194"/>
      <c r="U2" s="194"/>
      <c r="V2" s="194"/>
      <c r="W2" s="194"/>
      <c r="X2" s="194"/>
      <c r="Y2" s="194"/>
      <c r="Z2" s="194"/>
      <c r="AA2" s="194"/>
      <c r="AB2" s="194"/>
    </row>
    <row r="3" spans="1:28" x14ac:dyDescent="0.2">
      <c r="A3" s="554" t="s">
        <v>353</v>
      </c>
      <c r="B3" s="554"/>
      <c r="C3" s="554"/>
      <c r="D3" s="554"/>
      <c r="E3" s="550"/>
      <c r="F3" s="555"/>
      <c r="G3" s="194"/>
      <c r="H3" s="194"/>
      <c r="I3" s="194"/>
      <c r="J3" s="194"/>
      <c r="K3" s="194"/>
      <c r="L3" s="194"/>
      <c r="M3" s="194"/>
      <c r="N3" s="194"/>
      <c r="O3" s="194"/>
      <c r="P3" s="194"/>
      <c r="Q3" s="194"/>
      <c r="R3" s="194"/>
      <c r="S3" s="194"/>
      <c r="T3" s="194"/>
      <c r="U3" s="194"/>
      <c r="V3" s="194"/>
      <c r="W3" s="194"/>
      <c r="X3" s="194"/>
      <c r="Y3" s="194"/>
      <c r="Z3" s="194"/>
      <c r="AA3" s="194"/>
      <c r="AB3" s="194"/>
    </row>
    <row r="4" spans="1:28" x14ac:dyDescent="0.2">
      <c r="A4" s="554" t="s">
        <v>468</v>
      </c>
      <c r="B4" s="554"/>
      <c r="C4" s="554"/>
      <c r="D4" s="554"/>
      <c r="E4" s="550"/>
      <c r="F4" s="555"/>
      <c r="G4" s="194"/>
      <c r="H4" s="194"/>
      <c r="I4" s="194"/>
      <c r="J4" s="194"/>
      <c r="K4" s="194"/>
      <c r="L4" s="194"/>
      <c r="M4" s="194"/>
      <c r="N4" s="194"/>
      <c r="O4" s="194"/>
      <c r="P4" s="194"/>
      <c r="Q4" s="194"/>
      <c r="R4" s="194"/>
      <c r="S4" s="194"/>
      <c r="T4" s="194"/>
      <c r="U4" s="194"/>
      <c r="V4" s="194"/>
      <c r="W4" s="194"/>
      <c r="X4" s="194"/>
      <c r="Y4" s="194"/>
      <c r="Z4" s="194"/>
      <c r="AA4" s="194"/>
      <c r="AB4" s="194"/>
    </row>
    <row r="5" spans="1:28" x14ac:dyDescent="0.2">
      <c r="A5" s="1153" t="s">
        <v>469</v>
      </c>
      <c r="B5" s="1153"/>
      <c r="C5" s="1153"/>
      <c r="D5" s="1153"/>
      <c r="E5" s="549"/>
      <c r="F5" s="555"/>
      <c r="G5" s="194"/>
      <c r="H5" s="194"/>
      <c r="I5" s="194"/>
      <c r="J5" s="194"/>
      <c r="K5" s="194"/>
      <c r="L5" s="194"/>
      <c r="M5" s="194"/>
      <c r="N5" s="194"/>
      <c r="O5" s="194"/>
      <c r="P5" s="194"/>
      <c r="Q5" s="194"/>
      <c r="R5" s="194"/>
      <c r="S5" s="194"/>
      <c r="T5" s="194"/>
      <c r="U5" s="194"/>
      <c r="V5" s="194"/>
      <c r="W5" s="194"/>
      <c r="X5" s="194"/>
      <c r="Y5" s="194"/>
      <c r="Z5" s="194"/>
      <c r="AA5" s="194"/>
      <c r="AB5" s="194"/>
    </row>
    <row r="6" spans="1:28" x14ac:dyDescent="0.2">
      <c r="A6" s="1153" t="s">
        <v>470</v>
      </c>
      <c r="B6" s="1153"/>
      <c r="C6" s="1153"/>
      <c r="D6" s="1153"/>
      <c r="E6" s="550"/>
      <c r="F6" s="555"/>
      <c r="G6" s="194"/>
      <c r="H6" s="194"/>
      <c r="I6" s="194"/>
      <c r="J6" s="194"/>
      <c r="K6" s="194"/>
      <c r="L6" s="194"/>
      <c r="M6" s="194"/>
      <c r="N6" s="194"/>
      <c r="O6" s="194"/>
      <c r="P6" s="194"/>
      <c r="Q6" s="194"/>
      <c r="R6" s="194"/>
      <c r="S6" s="194"/>
      <c r="T6" s="194"/>
      <c r="U6" s="194"/>
      <c r="V6" s="194"/>
      <c r="W6" s="194"/>
      <c r="X6" s="194"/>
      <c r="Y6" s="194"/>
      <c r="Z6" s="194"/>
      <c r="AA6" s="194"/>
      <c r="AB6" s="194"/>
    </row>
    <row r="7" spans="1:28" x14ac:dyDescent="0.2">
      <c r="A7" s="554" t="s">
        <v>77</v>
      </c>
      <c r="B7" s="554"/>
      <c r="C7" s="554"/>
      <c r="D7" s="554"/>
      <c r="E7" s="549"/>
      <c r="F7" s="555"/>
      <c r="G7" s="192"/>
      <c r="H7" s="811">
        <v>4161000</v>
      </c>
      <c r="I7" s="811">
        <v>26443345</v>
      </c>
      <c r="J7" s="811">
        <v>79748256</v>
      </c>
      <c r="K7" s="811">
        <v>0</v>
      </c>
      <c r="L7" s="811">
        <v>6734246</v>
      </c>
      <c r="M7" s="811">
        <v>19636815</v>
      </c>
      <c r="N7" s="811">
        <v>6517788</v>
      </c>
      <c r="O7" s="811">
        <v>0</v>
      </c>
      <c r="P7" s="811">
        <v>8370930</v>
      </c>
      <c r="Q7" s="811">
        <v>24900016</v>
      </c>
      <c r="R7" s="811">
        <v>336167</v>
      </c>
      <c r="S7" s="811">
        <v>900628</v>
      </c>
      <c r="T7" s="811">
        <v>0</v>
      </c>
      <c r="U7" s="811">
        <v>0</v>
      </c>
      <c r="V7" s="811">
        <v>261216225</v>
      </c>
      <c r="W7" s="811">
        <v>15614198</v>
      </c>
      <c r="X7" s="811">
        <v>0</v>
      </c>
      <c r="Y7" s="811">
        <v>38514919</v>
      </c>
      <c r="Z7" s="811">
        <v>11352703</v>
      </c>
      <c r="AA7" s="811">
        <v>61991000</v>
      </c>
      <c r="AB7" s="811">
        <v>8068755</v>
      </c>
    </row>
    <row r="8" spans="1:28" x14ac:dyDescent="0.2">
      <c r="A8" s="554" t="s">
        <v>502</v>
      </c>
      <c r="B8" s="554"/>
      <c r="C8" s="554"/>
      <c r="D8" s="554"/>
      <c r="E8" s="550"/>
      <c r="F8" s="555"/>
      <c r="G8" s="194"/>
      <c r="H8" s="194"/>
      <c r="I8" s="194"/>
      <c r="J8" s="194"/>
      <c r="K8" s="194"/>
      <c r="L8" s="194"/>
      <c r="M8" s="194"/>
      <c r="N8" s="194"/>
      <c r="O8" s="194"/>
      <c r="P8" s="194"/>
      <c r="Q8" s="194"/>
      <c r="R8" s="194"/>
      <c r="S8" s="194"/>
      <c r="T8" s="194"/>
      <c r="U8" s="194"/>
      <c r="V8" s="194"/>
      <c r="W8" s="194"/>
      <c r="X8" s="194"/>
      <c r="Y8" s="194"/>
      <c r="Z8" s="194"/>
      <c r="AA8" s="194"/>
      <c r="AB8" s="194"/>
    </row>
    <row r="9" spans="1:28" x14ac:dyDescent="0.2">
      <c r="A9" s="554"/>
      <c r="B9" s="554"/>
      <c r="C9" s="556" t="s">
        <v>480</v>
      </c>
      <c r="D9" s="554"/>
      <c r="E9" s="550"/>
      <c r="F9" s="555"/>
      <c r="G9" s="15">
        <f t="shared" ref="G9:AB9" si="0">SUM(G2:G8)</f>
        <v>0</v>
      </c>
      <c r="H9" s="15">
        <f t="shared" si="0"/>
        <v>4161000</v>
      </c>
      <c r="I9" s="15">
        <f t="shared" si="0"/>
        <v>26443345</v>
      </c>
      <c r="J9" s="15">
        <f t="shared" si="0"/>
        <v>79748256</v>
      </c>
      <c r="K9" s="15">
        <f t="shared" si="0"/>
        <v>0</v>
      </c>
      <c r="L9" s="15">
        <f t="shared" si="0"/>
        <v>6734246</v>
      </c>
      <c r="M9" s="15">
        <f t="shared" si="0"/>
        <v>19636815</v>
      </c>
      <c r="N9" s="15">
        <f t="shared" si="0"/>
        <v>6517788</v>
      </c>
      <c r="O9" s="15">
        <f t="shared" si="0"/>
        <v>0</v>
      </c>
      <c r="P9" s="15">
        <f t="shared" si="0"/>
        <v>8370930</v>
      </c>
      <c r="Q9" s="15">
        <f t="shared" si="0"/>
        <v>24900016</v>
      </c>
      <c r="R9" s="15">
        <f t="shared" si="0"/>
        <v>336167</v>
      </c>
      <c r="S9" s="15">
        <f t="shared" si="0"/>
        <v>900628</v>
      </c>
      <c r="T9" s="15">
        <f t="shared" si="0"/>
        <v>0</v>
      </c>
      <c r="U9" s="15">
        <f t="shared" si="0"/>
        <v>0</v>
      </c>
      <c r="V9" s="15">
        <f t="shared" si="0"/>
        <v>261216225</v>
      </c>
      <c r="W9" s="15">
        <f t="shared" si="0"/>
        <v>15614198</v>
      </c>
      <c r="X9" s="15">
        <f t="shared" si="0"/>
        <v>0</v>
      </c>
      <c r="Y9" s="15">
        <f t="shared" si="0"/>
        <v>38514919</v>
      </c>
      <c r="Z9" s="15">
        <f t="shared" si="0"/>
        <v>11352703</v>
      </c>
      <c r="AA9" s="15">
        <f t="shared" si="0"/>
        <v>61991000</v>
      </c>
      <c r="AB9" s="15">
        <f t="shared" si="0"/>
        <v>8068755</v>
      </c>
    </row>
    <row r="10" spans="1:28" x14ac:dyDescent="0.2">
      <c r="A10" s="554"/>
      <c r="B10" s="554"/>
      <c r="C10" s="554"/>
      <c r="D10" s="554"/>
      <c r="E10" s="550"/>
      <c r="F10" s="550"/>
      <c r="G10" s="12"/>
      <c r="H10" s="12"/>
      <c r="I10" s="12"/>
      <c r="J10" s="12"/>
      <c r="K10" s="12"/>
      <c r="L10" s="12"/>
      <c r="M10" s="12"/>
      <c r="N10" s="12"/>
      <c r="O10" s="12"/>
      <c r="P10" s="12"/>
      <c r="Q10" s="12"/>
      <c r="R10" s="12"/>
      <c r="S10" s="12"/>
      <c r="T10" s="12"/>
      <c r="U10" s="12"/>
      <c r="V10" s="12"/>
      <c r="W10" s="12"/>
      <c r="X10" s="12"/>
      <c r="Y10" s="12"/>
      <c r="Z10" s="12"/>
      <c r="AA10" s="12"/>
      <c r="AB10" s="12"/>
    </row>
    <row r="11" spans="1:28" x14ac:dyDescent="0.2">
      <c r="A11" s="707"/>
      <c r="B11" s="554"/>
      <c r="C11" s="554"/>
      <c r="D11" s="554"/>
      <c r="E11" s="550"/>
      <c r="F11" s="550"/>
      <c r="G11" s="12"/>
      <c r="H11" s="12"/>
      <c r="I11" s="12"/>
      <c r="J11" s="12"/>
      <c r="K11" s="12"/>
      <c r="L11" s="12"/>
      <c r="M11" s="12"/>
      <c r="N11" s="12"/>
      <c r="O11" s="12"/>
      <c r="P11" s="12"/>
      <c r="Q11" s="12"/>
      <c r="R11" s="12"/>
      <c r="S11" s="12"/>
      <c r="T11" s="12"/>
      <c r="U11" s="12"/>
      <c r="V11" s="12"/>
      <c r="W11" s="12"/>
      <c r="X11" s="12"/>
      <c r="Y11" s="12"/>
      <c r="Z11" s="12"/>
      <c r="AA11" s="12"/>
      <c r="AB11" s="12"/>
    </row>
    <row r="12" spans="1:28" x14ac:dyDescent="0.2">
      <c r="A12" s="554"/>
      <c r="B12" s="554"/>
      <c r="C12" s="554"/>
      <c r="D12" s="554"/>
      <c r="E12" s="550"/>
      <c r="F12" s="555"/>
      <c r="G12" s="209"/>
      <c r="H12" s="196"/>
      <c r="I12" s="196"/>
      <c r="J12" s="196"/>
      <c r="K12" s="196"/>
      <c r="L12" s="196"/>
      <c r="M12" s="196"/>
      <c r="N12" s="196"/>
      <c r="O12" s="196"/>
      <c r="P12" s="196"/>
      <c r="Q12" s="196"/>
      <c r="R12" s="196"/>
      <c r="S12" s="196"/>
      <c r="T12" s="196"/>
      <c r="U12" s="196"/>
      <c r="V12" s="196"/>
      <c r="W12" s="196"/>
      <c r="X12" s="196"/>
      <c r="Y12" s="196"/>
      <c r="Z12" s="196"/>
      <c r="AA12" s="196"/>
      <c r="AB12" s="196"/>
    </row>
    <row r="13" spans="1:28" x14ac:dyDescent="0.2">
      <c r="A13" s="554" t="s">
        <v>471</v>
      </c>
      <c r="B13" s="554"/>
      <c r="C13" s="554"/>
      <c r="D13" s="554"/>
      <c r="E13" s="550"/>
      <c r="F13" s="555"/>
      <c r="G13" s="194"/>
      <c r="H13" s="194"/>
      <c r="I13" s="194"/>
      <c r="J13" s="194"/>
      <c r="K13" s="194"/>
      <c r="L13" s="194"/>
      <c r="M13" s="194"/>
      <c r="N13" s="194"/>
      <c r="O13" s="194"/>
      <c r="P13" s="194"/>
      <c r="Q13" s="194"/>
      <c r="R13" s="194"/>
      <c r="S13" s="194"/>
      <c r="T13" s="194"/>
      <c r="U13" s="194"/>
      <c r="V13" s="194"/>
      <c r="W13" s="194"/>
      <c r="X13" s="194"/>
      <c r="Y13" s="194"/>
      <c r="Z13" s="194"/>
      <c r="AA13" s="194"/>
      <c r="AB13" s="194"/>
    </row>
    <row r="14" spans="1:28" x14ac:dyDescent="0.2">
      <c r="A14" s="554" t="s">
        <v>395</v>
      </c>
      <c r="B14" s="554"/>
      <c r="C14" s="554"/>
      <c r="D14" s="554"/>
      <c r="E14" s="550"/>
      <c r="F14" s="555"/>
      <c r="G14" s="194"/>
      <c r="H14" s="194"/>
      <c r="I14" s="194"/>
      <c r="J14" s="194"/>
      <c r="K14" s="194"/>
      <c r="L14" s="194"/>
      <c r="M14" s="194"/>
      <c r="N14" s="194"/>
      <c r="O14" s="194"/>
      <c r="P14" s="194"/>
      <c r="Q14" s="194"/>
      <c r="R14" s="194"/>
      <c r="S14" s="194"/>
      <c r="T14" s="194"/>
      <c r="U14" s="194"/>
      <c r="V14" s="194"/>
      <c r="W14" s="194"/>
      <c r="X14" s="194"/>
      <c r="Y14" s="194"/>
      <c r="Z14" s="194"/>
      <c r="AA14" s="194"/>
      <c r="AB14" s="194"/>
    </row>
    <row r="15" spans="1:28" x14ac:dyDescent="0.2">
      <c r="A15" s="554" t="s">
        <v>744</v>
      </c>
      <c r="B15" s="554"/>
      <c r="C15" s="554"/>
      <c r="D15" s="554"/>
      <c r="E15" s="549"/>
      <c r="F15" s="555"/>
      <c r="G15" s="192"/>
      <c r="H15" s="811">
        <v>2893237</v>
      </c>
      <c r="I15" s="811">
        <v>511880674</v>
      </c>
      <c r="J15" s="811">
        <v>11716039</v>
      </c>
      <c r="K15" s="811">
        <v>0</v>
      </c>
      <c r="L15" s="811">
        <v>25231591</v>
      </c>
      <c r="M15" s="811">
        <v>1000000</v>
      </c>
      <c r="N15" s="811">
        <v>0</v>
      </c>
      <c r="O15" s="811">
        <v>0</v>
      </c>
      <c r="P15" s="811">
        <v>63549556</v>
      </c>
      <c r="Q15" s="811">
        <v>28373707</v>
      </c>
      <c r="R15" s="811">
        <v>0</v>
      </c>
      <c r="S15" s="811">
        <v>8519813</v>
      </c>
      <c r="T15" s="811">
        <v>0</v>
      </c>
      <c r="U15" s="811">
        <v>0</v>
      </c>
      <c r="V15" s="811">
        <v>11988059234</v>
      </c>
      <c r="W15" s="811">
        <v>194315670</v>
      </c>
      <c r="X15" s="811">
        <v>0</v>
      </c>
      <c r="Y15" s="811">
        <v>99928300</v>
      </c>
      <c r="Z15" s="811">
        <v>128224527</v>
      </c>
      <c r="AA15" s="811">
        <v>717293000</v>
      </c>
      <c r="AB15" s="811">
        <v>0</v>
      </c>
    </row>
    <row r="16" spans="1:28" x14ac:dyDescent="0.2">
      <c r="A16" s="554" t="s">
        <v>117</v>
      </c>
      <c r="B16" s="554"/>
      <c r="C16" s="554"/>
      <c r="D16" s="554"/>
      <c r="E16" s="550"/>
      <c r="F16" s="555"/>
      <c r="G16" s="194"/>
      <c r="H16" s="194"/>
      <c r="I16" s="194"/>
      <c r="J16" s="194"/>
      <c r="K16" s="194"/>
      <c r="L16" s="194"/>
      <c r="M16" s="194"/>
      <c r="N16" s="194"/>
      <c r="O16" s="194"/>
      <c r="P16" s="194"/>
      <c r="Q16" s="194"/>
      <c r="R16" s="194"/>
      <c r="S16" s="194"/>
      <c r="T16" s="194"/>
      <c r="U16" s="194"/>
      <c r="V16" s="194"/>
      <c r="W16" s="194"/>
      <c r="X16" s="194"/>
      <c r="Y16" s="194"/>
      <c r="Z16" s="194"/>
      <c r="AA16" s="194"/>
      <c r="AB16" s="194"/>
    </row>
    <row r="17" spans="1:28" x14ac:dyDescent="0.2">
      <c r="A17" s="554"/>
      <c r="B17" s="554"/>
      <c r="C17" s="556" t="s">
        <v>481</v>
      </c>
      <c r="D17" s="554"/>
      <c r="E17" s="550"/>
      <c r="F17" s="555"/>
      <c r="G17" s="15">
        <f>SUM(G12:G16)</f>
        <v>0</v>
      </c>
      <c r="H17" s="15">
        <f t="shared" ref="H17:AB17" si="1">SUM(H12:H16)</f>
        <v>2893237</v>
      </c>
      <c r="I17" s="15">
        <f t="shared" si="1"/>
        <v>511880674</v>
      </c>
      <c r="J17" s="15">
        <f t="shared" si="1"/>
        <v>11716039</v>
      </c>
      <c r="K17" s="15">
        <f t="shared" si="1"/>
        <v>0</v>
      </c>
      <c r="L17" s="15">
        <f t="shared" si="1"/>
        <v>25231591</v>
      </c>
      <c r="M17" s="15">
        <f t="shared" si="1"/>
        <v>1000000</v>
      </c>
      <c r="N17" s="15">
        <f t="shared" si="1"/>
        <v>0</v>
      </c>
      <c r="O17" s="15">
        <f t="shared" si="1"/>
        <v>0</v>
      </c>
      <c r="P17" s="15">
        <f t="shared" si="1"/>
        <v>63549556</v>
      </c>
      <c r="Q17" s="15">
        <f t="shared" si="1"/>
        <v>28373707</v>
      </c>
      <c r="R17" s="15">
        <f t="shared" si="1"/>
        <v>0</v>
      </c>
      <c r="S17" s="15">
        <f t="shared" si="1"/>
        <v>8519813</v>
      </c>
      <c r="T17" s="15">
        <f t="shared" si="1"/>
        <v>0</v>
      </c>
      <c r="U17" s="15">
        <f t="shared" si="1"/>
        <v>0</v>
      </c>
      <c r="V17" s="15">
        <f t="shared" si="1"/>
        <v>11988059234</v>
      </c>
      <c r="W17" s="15">
        <f t="shared" si="1"/>
        <v>194315670</v>
      </c>
      <c r="X17" s="15">
        <f t="shared" si="1"/>
        <v>0</v>
      </c>
      <c r="Y17" s="15">
        <f t="shared" si="1"/>
        <v>99928300</v>
      </c>
      <c r="Z17" s="15">
        <f t="shared" si="1"/>
        <v>128224527</v>
      </c>
      <c r="AA17" s="15">
        <f t="shared" si="1"/>
        <v>717293000</v>
      </c>
      <c r="AB17" s="15">
        <f t="shared" si="1"/>
        <v>0</v>
      </c>
    </row>
    <row r="18" spans="1:28" x14ac:dyDescent="0.2">
      <c r="A18" s="554"/>
      <c r="B18" s="554"/>
      <c r="C18" s="554"/>
      <c r="D18" s="554"/>
      <c r="E18" s="550"/>
      <c r="F18" s="550"/>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554" t="s">
        <v>541</v>
      </c>
      <c r="B19" s="554"/>
      <c r="C19" s="554"/>
      <c r="D19" s="554"/>
      <c r="E19" s="550"/>
      <c r="F19" s="550"/>
      <c r="G19" s="17"/>
      <c r="H19" s="17"/>
      <c r="I19" s="17"/>
      <c r="J19" s="17"/>
      <c r="K19" s="17"/>
      <c r="L19" s="17"/>
      <c r="M19" s="17"/>
      <c r="N19" s="17"/>
      <c r="O19" s="17"/>
      <c r="P19" s="17"/>
      <c r="Q19" s="17"/>
      <c r="R19" s="17"/>
      <c r="S19" s="17"/>
      <c r="T19" s="17"/>
      <c r="U19" s="17"/>
      <c r="V19" s="17"/>
      <c r="W19" s="17"/>
      <c r="X19" s="17"/>
      <c r="Y19" s="17"/>
      <c r="Z19" s="17"/>
      <c r="AA19" s="17"/>
      <c r="AB19" s="17"/>
    </row>
    <row r="20" spans="1:28" x14ac:dyDescent="0.2">
      <c r="A20" s="554"/>
      <c r="B20" s="554" t="s">
        <v>304</v>
      </c>
      <c r="C20" s="554"/>
      <c r="D20" s="554"/>
      <c r="E20" s="557"/>
      <c r="F20" s="550"/>
      <c r="G20" s="194"/>
      <c r="H20" s="194"/>
      <c r="I20" s="194"/>
      <c r="J20" s="194"/>
      <c r="K20" s="194"/>
      <c r="L20" s="194"/>
      <c r="M20" s="194"/>
      <c r="N20" s="194"/>
      <c r="O20" s="194"/>
      <c r="P20" s="194"/>
      <c r="Q20" s="194"/>
      <c r="R20" s="194"/>
      <c r="S20" s="194"/>
      <c r="T20" s="194"/>
      <c r="U20" s="194"/>
      <c r="V20" s="194"/>
      <c r="W20" s="194"/>
      <c r="X20" s="194"/>
      <c r="Y20" s="194"/>
      <c r="Z20" s="194"/>
      <c r="AA20" s="194"/>
      <c r="AB20" s="194"/>
    </row>
    <row r="21" spans="1:28" x14ac:dyDescent="0.2">
      <c r="A21" s="554"/>
      <c r="B21" s="554" t="s">
        <v>305</v>
      </c>
      <c r="C21" s="554"/>
      <c r="D21" s="554"/>
      <c r="E21" s="557"/>
      <c r="F21" s="550"/>
      <c r="G21" s="194"/>
      <c r="H21" s="194"/>
      <c r="I21" s="194"/>
      <c r="J21" s="194"/>
      <c r="K21" s="194"/>
      <c r="L21" s="194"/>
      <c r="M21" s="194"/>
      <c r="N21" s="194"/>
      <c r="O21" s="194"/>
      <c r="P21" s="194"/>
      <c r="Q21" s="194"/>
      <c r="R21" s="194"/>
      <c r="S21" s="194"/>
      <c r="T21" s="194"/>
      <c r="U21" s="194"/>
      <c r="V21" s="194"/>
      <c r="W21" s="194"/>
      <c r="X21" s="194"/>
      <c r="Y21" s="194"/>
      <c r="Z21" s="194"/>
      <c r="AA21" s="194"/>
      <c r="AB21" s="194"/>
    </row>
    <row r="22" spans="1:28" x14ac:dyDescent="0.2">
      <c r="A22" s="554"/>
      <c r="B22" s="554" t="s">
        <v>65</v>
      </c>
      <c r="C22" s="554"/>
      <c r="D22" s="554"/>
      <c r="E22" s="557"/>
      <c r="F22" s="558"/>
      <c r="G22" s="194"/>
      <c r="H22" s="194"/>
      <c r="I22" s="194"/>
      <c r="J22" s="194"/>
      <c r="K22" s="194"/>
      <c r="L22" s="194"/>
      <c r="M22" s="194"/>
      <c r="N22" s="194"/>
      <c r="O22" s="194"/>
      <c r="P22" s="194"/>
      <c r="Q22" s="194"/>
      <c r="R22" s="194"/>
      <c r="S22" s="194"/>
      <c r="T22" s="194"/>
      <c r="U22" s="194"/>
      <c r="V22" s="194"/>
      <c r="W22" s="194"/>
      <c r="X22" s="194"/>
      <c r="Y22" s="194"/>
      <c r="Z22" s="194"/>
      <c r="AA22" s="194"/>
      <c r="AB22" s="194"/>
    </row>
    <row r="23" spans="1:28" x14ac:dyDescent="0.2">
      <c r="A23" s="554" t="s">
        <v>206</v>
      </c>
      <c r="B23" s="554"/>
      <c r="C23" s="554"/>
      <c r="D23" s="554"/>
      <c r="E23" s="550"/>
      <c r="F23" s="550"/>
      <c r="G23" s="209"/>
      <c r="H23" s="209"/>
      <c r="I23" s="209"/>
      <c r="J23" s="209"/>
      <c r="K23" s="209"/>
      <c r="L23" s="209"/>
      <c r="M23" s="209"/>
      <c r="N23" s="209"/>
      <c r="O23" s="209"/>
      <c r="P23" s="209"/>
      <c r="Q23" s="209"/>
      <c r="R23" s="209"/>
      <c r="S23" s="209"/>
      <c r="T23" s="209"/>
      <c r="U23" s="209"/>
      <c r="V23" s="209"/>
      <c r="W23" s="209"/>
      <c r="X23" s="209"/>
      <c r="Y23" s="209"/>
      <c r="Z23" s="209"/>
      <c r="AA23" s="209"/>
      <c r="AB23" s="209"/>
    </row>
    <row r="24" spans="1:28" x14ac:dyDescent="0.2">
      <c r="A24" s="554"/>
      <c r="B24" s="554" t="s">
        <v>306</v>
      </c>
      <c r="C24" s="554"/>
      <c r="D24" s="554"/>
      <c r="E24" s="557"/>
      <c r="F24" s="550"/>
      <c r="G24" s="194"/>
      <c r="H24" s="194"/>
      <c r="I24" s="194"/>
      <c r="J24" s="194"/>
      <c r="K24" s="194"/>
      <c r="L24" s="194"/>
      <c r="M24" s="194"/>
      <c r="N24" s="194"/>
      <c r="O24" s="194"/>
      <c r="P24" s="194"/>
      <c r="Q24" s="194"/>
      <c r="R24" s="194"/>
      <c r="S24" s="194"/>
      <c r="T24" s="194"/>
      <c r="U24" s="194"/>
      <c r="V24" s="194"/>
      <c r="W24" s="194"/>
      <c r="X24" s="194"/>
      <c r="Y24" s="194"/>
      <c r="Z24" s="194"/>
      <c r="AA24" s="194"/>
      <c r="AB24" s="194"/>
    </row>
    <row r="25" spans="1:28" x14ac:dyDescent="0.2">
      <c r="A25" s="554"/>
      <c r="B25" s="554" t="s">
        <v>307</v>
      </c>
      <c r="C25" s="554"/>
      <c r="D25" s="554"/>
      <c r="E25" s="557"/>
      <c r="F25" s="550"/>
      <c r="G25" s="194"/>
      <c r="H25" s="194"/>
      <c r="I25" s="194"/>
      <c r="J25" s="194"/>
      <c r="K25" s="194"/>
      <c r="L25" s="194"/>
      <c r="M25" s="194"/>
      <c r="N25" s="194"/>
      <c r="O25" s="194"/>
      <c r="P25" s="194"/>
      <c r="Q25" s="194"/>
      <c r="R25" s="194"/>
      <c r="S25" s="194"/>
      <c r="T25" s="194"/>
      <c r="U25" s="194"/>
      <c r="V25" s="194"/>
      <c r="W25" s="194"/>
      <c r="X25" s="194"/>
      <c r="Y25" s="194"/>
      <c r="Z25" s="194"/>
      <c r="AA25" s="194"/>
      <c r="AB25" s="194"/>
    </row>
    <row r="26" spans="1:28" x14ac:dyDescent="0.2">
      <c r="A26" s="554"/>
      <c r="B26" s="554" t="s">
        <v>308</v>
      </c>
      <c r="C26" s="554"/>
      <c r="D26" s="554"/>
      <c r="E26" s="557"/>
      <c r="F26" s="550"/>
      <c r="G26" s="194"/>
      <c r="H26" s="194"/>
      <c r="I26" s="194"/>
      <c r="J26" s="194"/>
      <c r="K26" s="194"/>
      <c r="L26" s="194"/>
      <c r="M26" s="194"/>
      <c r="N26" s="194"/>
      <c r="O26" s="194"/>
      <c r="P26" s="194"/>
      <c r="Q26" s="194"/>
      <c r="R26" s="194"/>
      <c r="S26" s="194"/>
      <c r="T26" s="194"/>
      <c r="U26" s="194"/>
      <c r="V26" s="194"/>
      <c r="W26" s="194"/>
      <c r="X26" s="194"/>
      <c r="Y26" s="194"/>
      <c r="Z26" s="194"/>
      <c r="AA26" s="194"/>
      <c r="AB26" s="194"/>
    </row>
    <row r="27" spans="1:28" x14ac:dyDescent="0.2">
      <c r="A27" s="554"/>
      <c r="B27" s="554" t="s">
        <v>309</v>
      </c>
      <c r="C27" s="554"/>
      <c r="D27" s="554"/>
      <c r="E27" s="557"/>
      <c r="F27" s="550"/>
      <c r="G27" s="194"/>
      <c r="H27" s="194"/>
      <c r="I27" s="194"/>
      <c r="J27" s="194"/>
      <c r="K27" s="194"/>
      <c r="L27" s="194"/>
      <c r="M27" s="194"/>
      <c r="N27" s="194"/>
      <c r="O27" s="194"/>
      <c r="P27" s="194"/>
      <c r="Q27" s="194"/>
      <c r="R27" s="194"/>
      <c r="S27" s="194"/>
      <c r="T27" s="194"/>
      <c r="U27" s="194"/>
      <c r="V27" s="194"/>
      <c r="W27" s="194"/>
      <c r="X27" s="194"/>
      <c r="Y27" s="194"/>
      <c r="Z27" s="194"/>
      <c r="AA27" s="194"/>
      <c r="AB27" s="194"/>
    </row>
    <row r="28" spans="1:28" x14ac:dyDescent="0.2">
      <c r="A28" s="554"/>
      <c r="B28" s="554"/>
      <c r="C28" s="554"/>
      <c r="D28" s="554"/>
      <c r="E28" s="550"/>
      <c r="F28" s="550"/>
      <c r="G28" s="209"/>
      <c r="H28" s="209"/>
      <c r="I28" s="209"/>
      <c r="J28" s="209"/>
      <c r="K28" s="209"/>
      <c r="L28" s="209"/>
      <c r="M28" s="209"/>
      <c r="N28" s="209"/>
      <c r="O28" s="209"/>
      <c r="P28" s="209"/>
      <c r="Q28" s="209"/>
      <c r="R28" s="209"/>
      <c r="S28" s="209"/>
      <c r="T28" s="209"/>
      <c r="U28" s="209"/>
      <c r="V28" s="209"/>
      <c r="W28" s="209"/>
      <c r="X28" s="209"/>
      <c r="Y28" s="209"/>
      <c r="Z28" s="209"/>
      <c r="AA28" s="209"/>
      <c r="AB28" s="209"/>
    </row>
    <row r="29" spans="1:28" x14ac:dyDescent="0.2">
      <c r="A29" s="554"/>
      <c r="B29" s="554"/>
      <c r="C29" s="554"/>
      <c r="D29" s="554"/>
      <c r="E29" s="550"/>
      <c r="F29" s="550"/>
      <c r="G29" s="12"/>
      <c r="H29" s="12"/>
      <c r="I29" s="12"/>
      <c r="J29" s="12"/>
      <c r="K29" s="12"/>
      <c r="L29" s="12"/>
      <c r="M29" s="12"/>
      <c r="N29" s="12"/>
      <c r="O29" s="12"/>
      <c r="P29" s="12"/>
      <c r="Q29" s="12"/>
      <c r="R29" s="12"/>
      <c r="S29" s="12"/>
      <c r="T29" s="12"/>
      <c r="U29" s="12"/>
      <c r="V29" s="12"/>
      <c r="W29" s="12"/>
      <c r="X29" s="12"/>
      <c r="Y29" s="12"/>
      <c r="Z29" s="12"/>
      <c r="AA29" s="12"/>
      <c r="AB29" s="12"/>
    </row>
    <row r="30" spans="1:28" x14ac:dyDescent="0.2">
      <c r="A30" s="556" t="s">
        <v>765</v>
      </c>
      <c r="B30" s="554"/>
      <c r="C30" s="554"/>
      <c r="D30" s="554"/>
      <c r="E30" s="550"/>
      <c r="F30" s="555"/>
      <c r="G30" s="264"/>
      <c r="H30" s="858">
        <v>825904</v>
      </c>
      <c r="I30" s="858">
        <v>5604855</v>
      </c>
      <c r="J30" s="858">
        <v>524712</v>
      </c>
      <c r="K30" s="858">
        <v>0</v>
      </c>
      <c r="L30" s="858">
        <v>9695472</v>
      </c>
      <c r="M30" s="858">
        <v>1204706</v>
      </c>
      <c r="N30" s="858">
        <v>24934493</v>
      </c>
      <c r="O30" s="858">
        <v>0</v>
      </c>
      <c r="P30" s="858">
        <v>46656</v>
      </c>
      <c r="Q30" s="858">
        <v>50942401</v>
      </c>
      <c r="R30" s="858">
        <v>0</v>
      </c>
      <c r="S30" s="858">
        <v>234749</v>
      </c>
      <c r="T30" s="858">
        <v>0</v>
      </c>
      <c r="U30" s="858">
        <v>0</v>
      </c>
      <c r="V30" s="1124">
        <f>103765399-2687545</f>
        <v>101077854</v>
      </c>
      <c r="W30" s="1127">
        <f>5928205-232000</f>
        <v>5696205</v>
      </c>
      <c r="X30" s="858">
        <v>0</v>
      </c>
      <c r="Y30" s="858">
        <v>2970853</v>
      </c>
      <c r="Z30" s="858">
        <v>0</v>
      </c>
      <c r="AA30" s="858">
        <v>14759000</v>
      </c>
      <c r="AB30" s="858">
        <v>117459</v>
      </c>
    </row>
    <row r="31" spans="1:28" x14ac:dyDescent="0.2">
      <c r="A31" s="556" t="s">
        <v>745</v>
      </c>
      <c r="B31" s="554"/>
      <c r="C31" s="554"/>
      <c r="D31" s="554"/>
      <c r="E31" s="549"/>
      <c r="F31" s="555"/>
      <c r="G31" s="192"/>
      <c r="H31" s="811">
        <v>10268522</v>
      </c>
      <c r="I31" s="811">
        <v>29511457</v>
      </c>
      <c r="J31" s="811">
        <v>29358099</v>
      </c>
      <c r="K31" s="811">
        <v>0</v>
      </c>
      <c r="L31" s="811">
        <v>10410568</v>
      </c>
      <c r="M31" s="811">
        <v>2938379</v>
      </c>
      <c r="N31" s="811">
        <v>688536</v>
      </c>
      <c r="O31" s="811">
        <v>0</v>
      </c>
      <c r="P31" s="811">
        <v>7404685</v>
      </c>
      <c r="Q31" s="811">
        <v>25968611</v>
      </c>
      <c r="R31" s="811">
        <v>3500</v>
      </c>
      <c r="S31" s="811">
        <v>3211749</v>
      </c>
      <c r="T31" s="811">
        <v>0</v>
      </c>
      <c r="U31" s="811">
        <v>0</v>
      </c>
      <c r="V31" s="811">
        <v>177606606</v>
      </c>
      <c r="W31" s="811">
        <v>17523580</v>
      </c>
      <c r="X31" s="811">
        <v>0</v>
      </c>
      <c r="Y31" s="811">
        <v>12306285</v>
      </c>
      <c r="Z31" s="811">
        <v>17379476</v>
      </c>
      <c r="AA31" s="811">
        <v>180908000</v>
      </c>
      <c r="AB31" s="811">
        <v>534816</v>
      </c>
    </row>
    <row r="32" spans="1:28" x14ac:dyDescent="0.2">
      <c r="A32" s="556" t="s">
        <v>91</v>
      </c>
      <c r="B32" s="554"/>
      <c r="C32" s="554"/>
      <c r="D32" s="554"/>
      <c r="E32" s="550"/>
      <c r="F32" s="550"/>
      <c r="G32" s="194"/>
      <c r="H32" s="194"/>
      <c r="I32" s="194"/>
      <c r="J32" s="194"/>
      <c r="K32" s="194"/>
      <c r="L32" s="194"/>
      <c r="M32" s="194"/>
      <c r="N32" s="194"/>
      <c r="O32" s="194"/>
      <c r="P32" s="194"/>
      <c r="Q32" s="194"/>
      <c r="R32" s="194"/>
      <c r="S32" s="194"/>
      <c r="T32" s="194"/>
      <c r="U32" s="194"/>
      <c r="V32" s="194"/>
      <c r="W32" s="194"/>
      <c r="X32" s="194"/>
      <c r="Y32" s="194"/>
      <c r="Z32" s="194"/>
      <c r="AA32" s="194"/>
      <c r="AB32" s="194"/>
    </row>
    <row r="33" spans="1:28" x14ac:dyDescent="0.2">
      <c r="A33" s="554" t="s">
        <v>517</v>
      </c>
      <c r="B33" s="554"/>
      <c r="C33" s="554"/>
      <c r="D33" s="554"/>
      <c r="E33" s="550"/>
      <c r="F33" s="550"/>
      <c r="G33" s="192"/>
      <c r="H33" s="811">
        <v>940000</v>
      </c>
      <c r="I33" s="1119">
        <f>19312014-420156</f>
        <v>18891858</v>
      </c>
      <c r="J33" s="811">
        <v>0</v>
      </c>
      <c r="K33" s="811">
        <v>0</v>
      </c>
      <c r="L33" s="811">
        <v>8088233</v>
      </c>
      <c r="M33" s="811">
        <v>7810183</v>
      </c>
      <c r="N33" s="811">
        <v>209243</v>
      </c>
      <c r="O33" s="811">
        <v>0</v>
      </c>
      <c r="P33" s="811">
        <v>0</v>
      </c>
      <c r="Q33" s="811">
        <v>0</v>
      </c>
      <c r="R33" s="811">
        <v>0</v>
      </c>
      <c r="S33" s="811">
        <v>154040</v>
      </c>
      <c r="T33" s="811">
        <v>0</v>
      </c>
      <c r="U33" s="811">
        <v>0</v>
      </c>
      <c r="V33" s="811">
        <v>102465103</v>
      </c>
      <c r="W33" s="811">
        <v>0</v>
      </c>
      <c r="X33" s="811">
        <v>0</v>
      </c>
      <c r="Y33" s="811">
        <v>17992</v>
      </c>
      <c r="Z33" s="811">
        <v>0</v>
      </c>
      <c r="AA33" s="811">
        <v>0</v>
      </c>
      <c r="AB33" s="811">
        <v>102057</v>
      </c>
    </row>
    <row r="34" spans="1:28" x14ac:dyDescent="0.2">
      <c r="A34" s="554" t="s">
        <v>461</v>
      </c>
      <c r="B34" s="554"/>
      <c r="C34" s="554"/>
      <c r="D34" s="554"/>
      <c r="E34" s="550"/>
      <c r="F34" s="550"/>
      <c r="G34" s="264"/>
      <c r="H34" s="858">
        <v>0</v>
      </c>
      <c r="I34" s="858">
        <v>0</v>
      </c>
      <c r="J34" s="858">
        <v>0</v>
      </c>
      <c r="K34" s="858">
        <v>0</v>
      </c>
      <c r="L34" s="858">
        <v>0</v>
      </c>
      <c r="M34" s="858">
        <v>0</v>
      </c>
      <c r="N34" s="858">
        <v>0</v>
      </c>
      <c r="O34" s="858">
        <v>0</v>
      </c>
      <c r="P34" s="858">
        <v>0</v>
      </c>
      <c r="Q34" s="858">
        <v>0</v>
      </c>
      <c r="R34" s="858">
        <v>0</v>
      </c>
      <c r="S34" s="858">
        <v>0</v>
      </c>
      <c r="T34" s="858">
        <v>0</v>
      </c>
      <c r="U34" s="858">
        <v>0</v>
      </c>
      <c r="V34" s="858">
        <v>0</v>
      </c>
      <c r="W34" s="858">
        <v>0</v>
      </c>
      <c r="X34" s="858">
        <v>0</v>
      </c>
      <c r="Y34" s="858">
        <v>0</v>
      </c>
      <c r="Z34" s="858">
        <v>0</v>
      </c>
      <c r="AA34" s="858">
        <v>0</v>
      </c>
      <c r="AB34" s="858">
        <v>0</v>
      </c>
    </row>
    <row r="35" spans="1:28" x14ac:dyDescent="0.2">
      <c r="A35" s="554"/>
      <c r="B35" s="554"/>
      <c r="C35" s="554"/>
      <c r="D35" s="554"/>
      <c r="E35" s="550"/>
      <c r="F35" s="550"/>
      <c r="G35" s="16"/>
      <c r="H35" s="16"/>
      <c r="I35" s="16"/>
      <c r="J35" s="16"/>
      <c r="K35" s="16"/>
      <c r="L35" s="16"/>
      <c r="M35" s="16"/>
      <c r="N35" s="16"/>
      <c r="O35" s="16"/>
      <c r="P35" s="16"/>
      <c r="Q35" s="16"/>
      <c r="R35" s="16"/>
      <c r="S35" s="16"/>
      <c r="T35" s="16"/>
      <c r="U35" s="16"/>
      <c r="V35" s="16"/>
      <c r="W35" s="16"/>
      <c r="X35" s="16"/>
      <c r="Y35" s="16"/>
      <c r="Z35" s="16"/>
      <c r="AA35" s="16"/>
      <c r="AB35" s="16"/>
    </row>
    <row r="36" spans="1:28" x14ac:dyDescent="0.2">
      <c r="A36" s="556" t="s">
        <v>766</v>
      </c>
      <c r="B36" s="554"/>
      <c r="C36" s="554"/>
      <c r="D36" s="554"/>
      <c r="E36" s="550"/>
      <c r="F36" s="555"/>
      <c r="G36" s="811"/>
      <c r="H36" s="811">
        <v>0</v>
      </c>
      <c r="I36" s="811">
        <v>21482</v>
      </c>
      <c r="J36" s="811">
        <v>0</v>
      </c>
      <c r="K36" s="811">
        <v>0</v>
      </c>
      <c r="L36" s="811">
        <v>0</v>
      </c>
      <c r="M36" s="811">
        <v>0</v>
      </c>
      <c r="N36" s="811">
        <v>0</v>
      </c>
      <c r="O36" s="811">
        <v>0</v>
      </c>
      <c r="P36" s="811">
        <v>0</v>
      </c>
      <c r="Q36" s="811">
        <v>0</v>
      </c>
      <c r="R36" s="811">
        <v>0</v>
      </c>
      <c r="S36" s="811">
        <v>0</v>
      </c>
      <c r="T36" s="811">
        <v>0</v>
      </c>
      <c r="U36" s="811">
        <v>0</v>
      </c>
      <c r="V36" s="811">
        <v>1421516</v>
      </c>
      <c r="W36" s="811">
        <v>0</v>
      </c>
      <c r="X36" s="811">
        <v>0</v>
      </c>
      <c r="Y36" s="811">
        <v>0</v>
      </c>
      <c r="Z36" s="811">
        <v>0</v>
      </c>
      <c r="AA36" s="811">
        <v>146000</v>
      </c>
      <c r="AB36" s="811">
        <v>0</v>
      </c>
    </row>
    <row r="37" spans="1:28" x14ac:dyDescent="0.2">
      <c r="A37" s="556" t="s">
        <v>483</v>
      </c>
      <c r="B37" s="554"/>
      <c r="C37" s="554"/>
      <c r="D37" s="554"/>
      <c r="E37" s="550"/>
      <c r="F37" s="550"/>
      <c r="G37" s="192"/>
      <c r="H37" s="811">
        <v>7665</v>
      </c>
      <c r="I37" s="811">
        <v>1184041</v>
      </c>
      <c r="J37" s="811">
        <v>1295484</v>
      </c>
      <c r="K37" s="811">
        <v>0</v>
      </c>
      <c r="L37" s="811">
        <v>53724</v>
      </c>
      <c r="M37" s="811">
        <v>573423</v>
      </c>
      <c r="N37" s="811">
        <v>204171</v>
      </c>
      <c r="O37" s="811">
        <v>0</v>
      </c>
      <c r="P37" s="811">
        <v>25179</v>
      </c>
      <c r="Q37" s="811">
        <v>1108920</v>
      </c>
      <c r="R37" s="811">
        <v>0</v>
      </c>
      <c r="S37" s="811">
        <v>6823148</v>
      </c>
      <c r="T37" s="811">
        <v>0</v>
      </c>
      <c r="U37" s="811">
        <v>0</v>
      </c>
      <c r="V37" s="811">
        <v>7791462</v>
      </c>
      <c r="W37" s="811">
        <v>369352</v>
      </c>
      <c r="X37" s="811">
        <v>0</v>
      </c>
      <c r="Y37" s="811">
        <v>570101</v>
      </c>
      <c r="Z37" s="811">
        <v>0</v>
      </c>
      <c r="AA37" s="811">
        <v>840000</v>
      </c>
      <c r="AB37" s="811">
        <v>11106</v>
      </c>
    </row>
    <row r="38" spans="1:28" x14ac:dyDescent="0.2">
      <c r="A38" s="554"/>
      <c r="B38" s="554"/>
      <c r="C38" s="554"/>
      <c r="D38" s="554"/>
      <c r="E38" s="550"/>
      <c r="F38" s="550"/>
      <c r="G38" s="16"/>
      <c r="H38" s="16"/>
      <c r="I38" s="16"/>
      <c r="J38" s="16"/>
      <c r="K38" s="16"/>
      <c r="L38" s="16"/>
      <c r="M38" s="16"/>
      <c r="N38" s="16"/>
      <c r="O38" s="16"/>
      <c r="P38" s="16"/>
      <c r="Q38" s="16"/>
      <c r="R38" s="16"/>
      <c r="S38" s="16"/>
      <c r="T38" s="16"/>
      <c r="U38" s="16"/>
      <c r="V38" s="16"/>
      <c r="W38" s="16"/>
      <c r="X38" s="16"/>
      <c r="Y38" s="16"/>
      <c r="Z38" s="16"/>
      <c r="AA38" s="16"/>
      <c r="AB38" s="16"/>
    </row>
    <row r="39" spans="1:28" x14ac:dyDescent="0.2">
      <c r="A39" s="554" t="s">
        <v>78</v>
      </c>
      <c r="B39" s="554"/>
      <c r="C39" s="554"/>
      <c r="D39" s="554"/>
      <c r="E39" s="550"/>
      <c r="F39" s="550"/>
      <c r="G39" s="192"/>
      <c r="H39" s="811">
        <v>0</v>
      </c>
      <c r="I39" s="811">
        <v>0</v>
      </c>
      <c r="J39" s="811">
        <v>0</v>
      </c>
      <c r="K39" s="811">
        <v>0</v>
      </c>
      <c r="L39" s="811">
        <v>0</v>
      </c>
      <c r="M39" s="811">
        <v>0</v>
      </c>
      <c r="N39" s="811">
        <v>0</v>
      </c>
      <c r="O39" s="811">
        <v>0</v>
      </c>
      <c r="P39" s="811">
        <v>0</v>
      </c>
      <c r="Q39" s="811">
        <v>106993</v>
      </c>
      <c r="R39" s="811">
        <v>0</v>
      </c>
      <c r="S39" s="811">
        <v>0</v>
      </c>
      <c r="T39" s="811">
        <v>0</v>
      </c>
      <c r="U39" s="811">
        <v>0</v>
      </c>
      <c r="V39" s="811">
        <v>0</v>
      </c>
      <c r="W39" s="811">
        <v>0</v>
      </c>
      <c r="X39" s="811">
        <v>0</v>
      </c>
      <c r="Y39" s="811">
        <v>0</v>
      </c>
      <c r="Z39" s="811">
        <v>0</v>
      </c>
      <c r="AA39" s="811">
        <v>0</v>
      </c>
      <c r="AB39" s="811">
        <v>0</v>
      </c>
    </row>
    <row r="40" spans="1:28" x14ac:dyDescent="0.2">
      <c r="A40" s="554" t="s">
        <v>484</v>
      </c>
      <c r="B40" s="554"/>
      <c r="C40" s="554"/>
      <c r="D40" s="554"/>
      <c r="E40" s="550"/>
      <c r="F40" s="550"/>
      <c r="G40" s="194"/>
      <c r="H40" s="194"/>
      <c r="I40" s="194"/>
      <c r="J40" s="194"/>
      <c r="K40" s="194"/>
      <c r="L40" s="194"/>
      <c r="M40" s="194"/>
      <c r="N40" s="194"/>
      <c r="O40" s="194"/>
      <c r="P40" s="194"/>
      <c r="Q40" s="194"/>
      <c r="R40" s="194"/>
      <c r="S40" s="194"/>
      <c r="T40" s="194"/>
      <c r="U40" s="194"/>
      <c r="V40" s="194"/>
      <c r="W40" s="194"/>
      <c r="X40" s="194"/>
      <c r="Y40" s="194"/>
      <c r="Z40" s="194"/>
      <c r="AA40" s="194"/>
      <c r="AB40" s="194"/>
    </row>
    <row r="41" spans="1:28" x14ac:dyDescent="0.2">
      <c r="A41" s="687"/>
      <c r="B41" s="554"/>
      <c r="C41" s="554"/>
      <c r="D41" s="554"/>
      <c r="E41" s="698"/>
      <c r="F41" s="550"/>
      <c r="G41" s="194"/>
      <c r="H41" s="194"/>
      <c r="I41" s="194"/>
      <c r="J41" s="194"/>
      <c r="K41" s="194"/>
      <c r="L41" s="194"/>
      <c r="M41" s="194"/>
      <c r="N41" s="194"/>
      <c r="O41" s="194"/>
      <c r="P41" s="194"/>
      <c r="Q41" s="194"/>
      <c r="R41" s="194"/>
      <c r="S41" s="194"/>
      <c r="T41" s="194"/>
      <c r="U41" s="194"/>
      <c r="V41" s="194"/>
      <c r="W41" s="194"/>
      <c r="X41" s="194"/>
      <c r="Y41" s="194"/>
      <c r="Z41" s="194"/>
      <c r="AA41" s="194"/>
      <c r="AB41" s="194"/>
    </row>
    <row r="42" spans="1:28" x14ac:dyDescent="0.2">
      <c r="A42" s="545" t="s">
        <v>991</v>
      </c>
      <c r="B42" s="554"/>
      <c r="C42" s="554"/>
      <c r="D42" s="554"/>
      <c r="E42" s="550"/>
      <c r="F42" s="550"/>
      <c r="G42" s="192"/>
      <c r="H42" s="811">
        <v>563100</v>
      </c>
      <c r="I42" s="811">
        <v>1969729</v>
      </c>
      <c r="J42" s="811">
        <v>77208588</v>
      </c>
      <c r="K42" s="811">
        <v>0</v>
      </c>
      <c r="L42" s="811">
        <v>73638</v>
      </c>
      <c r="M42" s="811">
        <v>21957550</v>
      </c>
      <c r="N42" s="811">
        <v>735472</v>
      </c>
      <c r="O42" s="1119">
        <f>0+10379486</f>
        <v>10379486</v>
      </c>
      <c r="P42" s="811">
        <v>1352752</v>
      </c>
      <c r="Q42" s="811">
        <v>1689047</v>
      </c>
      <c r="R42" s="811">
        <v>0</v>
      </c>
      <c r="S42" s="811">
        <v>0</v>
      </c>
      <c r="T42" s="811">
        <v>0</v>
      </c>
      <c r="U42" s="811">
        <v>0</v>
      </c>
      <c r="V42" s="811">
        <v>70211868</v>
      </c>
      <c r="W42" s="811">
        <v>4565556</v>
      </c>
      <c r="X42" s="811">
        <v>0</v>
      </c>
      <c r="Y42" s="811">
        <v>0</v>
      </c>
      <c r="Z42" s="811">
        <v>234933</v>
      </c>
      <c r="AA42" s="811">
        <v>177332000</v>
      </c>
      <c r="AB42" s="811">
        <v>0</v>
      </c>
    </row>
    <row r="43" spans="1:28" x14ac:dyDescent="0.2">
      <c r="A43" s="554"/>
      <c r="B43" s="554"/>
      <c r="C43" s="556" t="s">
        <v>486</v>
      </c>
      <c r="D43" s="554"/>
      <c r="E43" s="550"/>
      <c r="F43" s="550"/>
      <c r="G43" s="15">
        <f>SUM(G39:G42)</f>
        <v>0</v>
      </c>
      <c r="H43" s="15">
        <f t="shared" ref="H43:AB43" si="2">SUM(H39:H42)</f>
        <v>563100</v>
      </c>
      <c r="I43" s="15">
        <f t="shared" si="2"/>
        <v>1969729</v>
      </c>
      <c r="J43" s="15">
        <f t="shared" si="2"/>
        <v>77208588</v>
      </c>
      <c r="K43" s="15">
        <f t="shared" si="2"/>
        <v>0</v>
      </c>
      <c r="L43" s="15">
        <f t="shared" si="2"/>
        <v>73638</v>
      </c>
      <c r="M43" s="15">
        <f t="shared" si="2"/>
        <v>21957550</v>
      </c>
      <c r="N43" s="15">
        <f t="shared" si="2"/>
        <v>735472</v>
      </c>
      <c r="O43" s="15">
        <f t="shared" si="2"/>
        <v>10379486</v>
      </c>
      <c r="P43" s="15">
        <f t="shared" si="2"/>
        <v>1352752</v>
      </c>
      <c r="Q43" s="15">
        <f t="shared" si="2"/>
        <v>1796040</v>
      </c>
      <c r="R43" s="15">
        <f t="shared" si="2"/>
        <v>0</v>
      </c>
      <c r="S43" s="15">
        <f t="shared" si="2"/>
        <v>0</v>
      </c>
      <c r="T43" s="15">
        <f t="shared" si="2"/>
        <v>0</v>
      </c>
      <c r="U43" s="15">
        <f t="shared" si="2"/>
        <v>0</v>
      </c>
      <c r="V43" s="15">
        <f t="shared" si="2"/>
        <v>70211868</v>
      </c>
      <c r="W43" s="15">
        <f t="shared" si="2"/>
        <v>4565556</v>
      </c>
      <c r="X43" s="15">
        <f t="shared" si="2"/>
        <v>0</v>
      </c>
      <c r="Y43" s="15">
        <f t="shared" si="2"/>
        <v>0</v>
      </c>
      <c r="Z43" s="15">
        <f t="shared" si="2"/>
        <v>234933</v>
      </c>
      <c r="AA43" s="15">
        <f t="shared" si="2"/>
        <v>177332000</v>
      </c>
      <c r="AB43" s="15">
        <f t="shared" si="2"/>
        <v>0</v>
      </c>
    </row>
    <row r="44" spans="1:28" x14ac:dyDescent="0.2">
      <c r="A44" s="554"/>
      <c r="B44" s="554"/>
      <c r="C44" s="554"/>
      <c r="D44" s="554"/>
      <c r="E44" s="550"/>
      <c r="F44" s="550"/>
      <c r="G44" s="17"/>
      <c r="H44" s="17"/>
      <c r="I44" s="17"/>
      <c r="J44" s="17"/>
      <c r="K44" s="17"/>
      <c r="L44" s="17"/>
      <c r="M44" s="17"/>
      <c r="N44" s="17"/>
      <c r="O44" s="17"/>
      <c r="P44" s="17"/>
      <c r="Q44" s="17"/>
      <c r="R44" s="17"/>
      <c r="S44" s="17"/>
      <c r="T44" s="17"/>
      <c r="U44" s="17"/>
      <c r="V44" s="17"/>
      <c r="W44" s="17"/>
      <c r="X44" s="17"/>
      <c r="Y44" s="17"/>
      <c r="Z44" s="17"/>
      <c r="AA44" s="17"/>
      <c r="AB44" s="17"/>
    </row>
    <row r="45" spans="1:28" x14ac:dyDescent="0.2">
      <c r="A45" s="556" t="s">
        <v>349</v>
      </c>
      <c r="B45" s="554"/>
      <c r="C45" s="554"/>
      <c r="D45" s="554"/>
      <c r="E45" s="550"/>
      <c r="F45" s="550"/>
      <c r="G45" s="194"/>
      <c r="H45" s="194"/>
      <c r="I45" s="194"/>
      <c r="J45" s="194"/>
      <c r="K45" s="194"/>
      <c r="L45" s="194"/>
      <c r="M45" s="194"/>
      <c r="N45" s="194"/>
      <c r="O45" s="194"/>
      <c r="P45" s="194"/>
      <c r="Q45" s="194"/>
      <c r="R45" s="194"/>
      <c r="S45" s="194"/>
      <c r="T45" s="194"/>
      <c r="U45" s="194"/>
      <c r="V45" s="194"/>
      <c r="W45" s="194"/>
      <c r="X45" s="194"/>
      <c r="Y45" s="194"/>
      <c r="Z45" s="194"/>
      <c r="AA45" s="194"/>
      <c r="AB45" s="194"/>
    </row>
    <row r="46" spans="1:28" x14ac:dyDescent="0.2">
      <c r="A46" s="556" t="s">
        <v>350</v>
      </c>
      <c r="B46" s="554"/>
      <c r="C46" s="554"/>
      <c r="D46" s="554"/>
      <c r="E46" s="550"/>
      <c r="F46" s="550"/>
      <c r="G46" s="194"/>
      <c r="H46" s="194"/>
      <c r="I46" s="194"/>
      <c r="J46" s="194"/>
      <c r="K46" s="194"/>
      <c r="L46" s="194"/>
      <c r="M46" s="194"/>
      <c r="N46" s="194"/>
      <c r="O46" s="194"/>
      <c r="P46" s="194"/>
      <c r="Q46" s="194"/>
      <c r="R46" s="194"/>
      <c r="S46" s="194"/>
      <c r="T46" s="194"/>
      <c r="U46" s="194"/>
      <c r="V46" s="194"/>
      <c r="W46" s="194"/>
      <c r="X46" s="194"/>
      <c r="Y46" s="194"/>
      <c r="Z46" s="194"/>
      <c r="AA46" s="194"/>
      <c r="AB46" s="194"/>
    </row>
    <row r="47" spans="1:28" x14ac:dyDescent="0.2">
      <c r="A47" s="554"/>
      <c r="B47" s="554"/>
      <c r="C47" s="556"/>
      <c r="D47" s="554"/>
      <c r="E47" s="550"/>
      <c r="F47" s="550"/>
      <c r="G47" s="17"/>
      <c r="H47" s="17"/>
      <c r="I47" s="17"/>
      <c r="J47" s="17"/>
      <c r="K47" s="17"/>
      <c r="L47" s="17"/>
      <c r="M47" s="17"/>
      <c r="N47" s="17"/>
      <c r="O47" s="17"/>
      <c r="P47" s="17"/>
      <c r="Q47" s="17"/>
      <c r="R47" s="17"/>
      <c r="S47" s="17"/>
      <c r="T47" s="17"/>
      <c r="U47" s="17"/>
      <c r="V47" s="17"/>
      <c r="W47" s="17"/>
      <c r="X47" s="17"/>
      <c r="Y47" s="17"/>
      <c r="Z47" s="17"/>
      <c r="AA47" s="17"/>
      <c r="AB47" s="17"/>
    </row>
    <row r="48" spans="1:28" x14ac:dyDescent="0.2">
      <c r="A48" s="554"/>
      <c r="B48" s="554"/>
      <c r="C48" s="554"/>
      <c r="D48" s="554"/>
      <c r="E48" s="550"/>
      <c r="F48" s="550"/>
      <c r="G48" s="17"/>
      <c r="H48" s="17"/>
      <c r="I48" s="17"/>
      <c r="J48" s="17"/>
      <c r="K48" s="17"/>
      <c r="L48" s="17"/>
      <c r="M48" s="17"/>
      <c r="N48" s="17"/>
      <c r="O48" s="17"/>
      <c r="P48" s="17"/>
      <c r="Q48" s="17"/>
      <c r="R48" s="17"/>
      <c r="S48" s="17"/>
      <c r="T48" s="17"/>
      <c r="U48" s="17"/>
      <c r="V48" s="17"/>
      <c r="W48" s="17"/>
      <c r="X48" s="17"/>
      <c r="Y48" s="17"/>
      <c r="Z48" s="17"/>
      <c r="AA48" s="17"/>
      <c r="AB48" s="17"/>
    </row>
    <row r="49" spans="1:28" x14ac:dyDescent="0.2">
      <c r="A49" s="554" t="s">
        <v>355</v>
      </c>
      <c r="B49" s="554"/>
      <c r="C49" s="554"/>
      <c r="D49" s="554"/>
      <c r="E49" s="554"/>
      <c r="F49" s="555"/>
      <c r="G49" s="194"/>
      <c r="H49" s="194"/>
      <c r="I49" s="194"/>
      <c r="J49" s="194"/>
      <c r="K49" s="194"/>
      <c r="L49" s="194"/>
      <c r="M49" s="194"/>
      <c r="N49" s="194"/>
      <c r="O49" s="194"/>
      <c r="P49" s="194"/>
      <c r="Q49" s="194"/>
      <c r="R49" s="194"/>
      <c r="S49" s="194"/>
      <c r="T49" s="194"/>
      <c r="U49" s="194"/>
      <c r="V49" s="194"/>
      <c r="W49" s="194"/>
      <c r="X49" s="194"/>
      <c r="Y49" s="194"/>
      <c r="Z49" s="194"/>
      <c r="AA49" s="194"/>
      <c r="AB49" s="194"/>
    </row>
    <row r="50" spans="1:28" x14ac:dyDescent="0.2">
      <c r="A50" s="554" t="s">
        <v>356</v>
      </c>
      <c r="B50" s="554"/>
      <c r="C50" s="554"/>
      <c r="D50" s="554"/>
      <c r="E50" s="554"/>
      <c r="F50" s="555"/>
      <c r="G50" s="194"/>
      <c r="H50" s="194"/>
      <c r="I50" s="194"/>
      <c r="J50" s="194"/>
      <c r="K50" s="194"/>
      <c r="L50" s="194"/>
      <c r="M50" s="194"/>
      <c r="N50" s="194"/>
      <c r="O50" s="194"/>
      <c r="P50" s="194"/>
      <c r="Q50" s="194"/>
      <c r="R50" s="194"/>
      <c r="S50" s="194"/>
      <c r="T50" s="194"/>
      <c r="U50" s="194"/>
      <c r="V50" s="194"/>
      <c r="W50" s="194"/>
      <c r="X50" s="194"/>
      <c r="Y50" s="194"/>
      <c r="Z50" s="194"/>
      <c r="AA50" s="194"/>
      <c r="AB50" s="194"/>
    </row>
    <row r="51" spans="1:28" x14ac:dyDescent="0.2">
      <c r="A51" s="554" t="s">
        <v>33</v>
      </c>
      <c r="B51" s="554"/>
      <c r="C51" s="554"/>
      <c r="D51" s="554"/>
      <c r="E51" s="554"/>
      <c r="F51" s="555"/>
      <c r="G51" s="194"/>
      <c r="H51" s="194"/>
      <c r="I51" s="194"/>
      <c r="J51" s="194"/>
      <c r="K51" s="194"/>
      <c r="L51" s="194"/>
      <c r="M51" s="194"/>
      <c r="N51" s="194"/>
      <c r="O51" s="194"/>
      <c r="P51" s="194"/>
      <c r="Q51" s="194"/>
      <c r="R51" s="194"/>
      <c r="S51" s="194"/>
      <c r="T51" s="194"/>
      <c r="U51" s="194"/>
      <c r="V51" s="194"/>
      <c r="W51" s="194"/>
      <c r="X51" s="194"/>
      <c r="Y51" s="194"/>
      <c r="Z51" s="194"/>
      <c r="AA51" s="194"/>
      <c r="AB51" s="194"/>
    </row>
    <row r="52" spans="1:28" x14ac:dyDescent="0.2">
      <c r="A52" s="554" t="s">
        <v>34</v>
      </c>
      <c r="B52" s="554"/>
      <c r="C52" s="554"/>
      <c r="D52" s="554"/>
      <c r="E52" s="554"/>
      <c r="F52" s="555"/>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28" x14ac:dyDescent="0.2">
      <c r="A53" s="554" t="s">
        <v>35</v>
      </c>
      <c r="B53" s="554"/>
      <c r="C53" s="554"/>
      <c r="D53" s="554"/>
      <c r="E53" s="554"/>
      <c r="F53" s="555"/>
      <c r="G53" s="194"/>
      <c r="H53" s="194"/>
      <c r="I53" s="194"/>
      <c r="J53" s="194"/>
      <c r="K53" s="194"/>
      <c r="L53" s="194"/>
      <c r="M53" s="194"/>
      <c r="N53" s="194"/>
      <c r="O53" s="194"/>
      <c r="P53" s="194"/>
      <c r="Q53" s="194"/>
      <c r="R53" s="194"/>
      <c r="S53" s="194"/>
      <c r="T53" s="194"/>
      <c r="U53" s="194"/>
      <c r="V53" s="194"/>
      <c r="W53" s="194"/>
      <c r="X53" s="194"/>
      <c r="Y53" s="194"/>
      <c r="Z53" s="194"/>
      <c r="AA53" s="194"/>
      <c r="AB53" s="194"/>
    </row>
    <row r="54" spans="1:28" x14ac:dyDescent="0.2">
      <c r="A54" s="1153" t="s">
        <v>128</v>
      </c>
      <c r="B54" s="1153"/>
      <c r="C54" s="1153"/>
      <c r="D54" s="1153"/>
      <c r="E54" s="550"/>
      <c r="F54" s="555"/>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28" x14ac:dyDescent="0.2">
      <c r="A55" s="1153" t="s">
        <v>394</v>
      </c>
      <c r="B55" s="1153"/>
      <c r="C55" s="1153"/>
      <c r="D55" s="1153"/>
      <c r="E55" s="550"/>
      <c r="F55" s="555"/>
      <c r="G55" s="194"/>
      <c r="H55" s="194"/>
      <c r="I55" s="194"/>
      <c r="J55" s="194"/>
      <c r="K55" s="194"/>
      <c r="L55" s="194"/>
      <c r="M55" s="194"/>
      <c r="N55" s="194"/>
      <c r="O55" s="194"/>
      <c r="P55" s="194"/>
      <c r="Q55" s="194"/>
      <c r="R55" s="194"/>
      <c r="S55" s="194"/>
      <c r="T55" s="194"/>
      <c r="U55" s="194"/>
      <c r="V55" s="194"/>
      <c r="W55" s="194"/>
      <c r="X55" s="194"/>
      <c r="Y55" s="194"/>
      <c r="Z55" s="194"/>
      <c r="AA55" s="194"/>
      <c r="AB55" s="194"/>
    </row>
    <row r="56" spans="1:28" x14ac:dyDescent="0.2">
      <c r="A56" s="554" t="s">
        <v>747</v>
      </c>
      <c r="B56" s="554"/>
      <c r="C56" s="554"/>
      <c r="D56" s="554"/>
      <c r="E56" s="549"/>
      <c r="F56" s="555"/>
      <c r="G56" s="192"/>
      <c r="H56" s="811">
        <v>5385554</v>
      </c>
      <c r="I56" s="811">
        <v>2457351</v>
      </c>
      <c r="J56" s="811">
        <v>13183060</v>
      </c>
      <c r="K56" s="811">
        <v>0</v>
      </c>
      <c r="L56" s="811">
        <v>0</v>
      </c>
      <c r="M56" s="811">
        <v>474755</v>
      </c>
      <c r="N56" s="811">
        <v>2300309</v>
      </c>
      <c r="O56" s="811">
        <v>0</v>
      </c>
      <c r="P56" s="811">
        <v>4659106</v>
      </c>
      <c r="Q56" s="811">
        <v>0</v>
      </c>
      <c r="R56" s="811">
        <v>0</v>
      </c>
      <c r="S56" s="811">
        <v>0</v>
      </c>
      <c r="T56" s="811">
        <v>0</v>
      </c>
      <c r="U56" s="811">
        <v>0</v>
      </c>
      <c r="V56" s="811">
        <v>18551676</v>
      </c>
      <c r="W56" s="811">
        <v>55234733</v>
      </c>
      <c r="X56" s="811">
        <v>0</v>
      </c>
      <c r="Y56" s="811">
        <v>5896432</v>
      </c>
      <c r="Z56" s="811">
        <v>0</v>
      </c>
      <c r="AA56" s="811">
        <v>38983000</v>
      </c>
      <c r="AB56" s="811">
        <v>2236349</v>
      </c>
    </row>
    <row r="57" spans="1:28" x14ac:dyDescent="0.2">
      <c r="A57" s="554"/>
      <c r="B57" s="554"/>
      <c r="C57" s="556" t="s">
        <v>622</v>
      </c>
      <c r="D57" s="554"/>
      <c r="E57" s="572"/>
      <c r="F57" s="555"/>
      <c r="G57" s="15">
        <f>SUM(G49:G56)</f>
        <v>0</v>
      </c>
      <c r="H57" s="15">
        <f t="shared" ref="H57:AB57" si="3">SUM(H49:H56)</f>
        <v>5385554</v>
      </c>
      <c r="I57" s="15">
        <f t="shared" si="3"/>
        <v>2457351</v>
      </c>
      <c r="J57" s="15">
        <f t="shared" si="3"/>
        <v>13183060</v>
      </c>
      <c r="K57" s="15">
        <f t="shared" si="3"/>
        <v>0</v>
      </c>
      <c r="L57" s="15">
        <f t="shared" si="3"/>
        <v>0</v>
      </c>
      <c r="M57" s="15">
        <f t="shared" si="3"/>
        <v>474755</v>
      </c>
      <c r="N57" s="15">
        <f t="shared" si="3"/>
        <v>2300309</v>
      </c>
      <c r="O57" s="15">
        <f t="shared" si="3"/>
        <v>0</v>
      </c>
      <c r="P57" s="15">
        <f t="shared" si="3"/>
        <v>4659106</v>
      </c>
      <c r="Q57" s="15">
        <f t="shared" si="3"/>
        <v>0</v>
      </c>
      <c r="R57" s="15">
        <f t="shared" si="3"/>
        <v>0</v>
      </c>
      <c r="S57" s="15">
        <f t="shared" si="3"/>
        <v>0</v>
      </c>
      <c r="T57" s="15">
        <f t="shared" si="3"/>
        <v>0</v>
      </c>
      <c r="U57" s="15">
        <f t="shared" si="3"/>
        <v>0</v>
      </c>
      <c r="V57" s="15">
        <f t="shared" si="3"/>
        <v>18551676</v>
      </c>
      <c r="W57" s="15">
        <f t="shared" si="3"/>
        <v>55234733</v>
      </c>
      <c r="X57" s="15">
        <f t="shared" si="3"/>
        <v>0</v>
      </c>
      <c r="Y57" s="15">
        <f t="shared" si="3"/>
        <v>5896432</v>
      </c>
      <c r="Z57" s="15">
        <f t="shared" si="3"/>
        <v>0</v>
      </c>
      <c r="AA57" s="15">
        <f t="shared" si="3"/>
        <v>38983000</v>
      </c>
      <c r="AB57" s="15">
        <f t="shared" si="3"/>
        <v>2236349</v>
      </c>
    </row>
    <row r="58" spans="1:28" x14ac:dyDescent="0.2">
      <c r="A58" s="554"/>
      <c r="B58" s="554"/>
      <c r="C58" s="554"/>
      <c r="D58" s="554"/>
      <c r="E58" s="550"/>
      <c r="F58" s="550"/>
      <c r="G58" s="12"/>
      <c r="H58" s="12"/>
      <c r="I58" s="12"/>
      <c r="J58" s="12"/>
      <c r="K58" s="12"/>
      <c r="L58" s="12"/>
      <c r="M58" s="12"/>
      <c r="N58" s="12"/>
      <c r="O58" s="12"/>
      <c r="P58" s="12"/>
      <c r="Q58" s="12"/>
      <c r="R58" s="12"/>
      <c r="S58" s="12"/>
      <c r="T58" s="12"/>
      <c r="U58" s="12"/>
      <c r="V58" s="12"/>
      <c r="W58" s="12"/>
      <c r="X58" s="12"/>
      <c r="Y58" s="12"/>
      <c r="Z58" s="12"/>
      <c r="AA58" s="12"/>
      <c r="AB58" s="12"/>
    </row>
    <row r="59" spans="1:28" x14ac:dyDescent="0.2">
      <c r="A59" s="554" t="s">
        <v>405</v>
      </c>
      <c r="B59" s="554"/>
      <c r="C59" s="554"/>
      <c r="D59" s="554"/>
      <c r="E59" s="550"/>
      <c r="F59" s="555"/>
      <c r="G59" s="194"/>
      <c r="H59" s="194"/>
      <c r="I59" s="194"/>
      <c r="J59" s="194"/>
      <c r="K59" s="194"/>
      <c r="L59" s="194"/>
      <c r="M59" s="194"/>
      <c r="N59" s="194"/>
      <c r="O59" s="194"/>
      <c r="P59" s="194"/>
      <c r="Q59" s="194"/>
      <c r="R59" s="194"/>
      <c r="S59" s="194"/>
      <c r="T59" s="194"/>
      <c r="U59" s="194"/>
      <c r="V59" s="194"/>
      <c r="W59" s="194"/>
      <c r="X59" s="194"/>
      <c r="Y59" s="194"/>
      <c r="Z59" s="194"/>
      <c r="AA59" s="194"/>
      <c r="AB59" s="194"/>
    </row>
    <row r="60" spans="1:28" x14ac:dyDescent="0.2">
      <c r="A60" s="554" t="s">
        <v>187</v>
      </c>
      <c r="B60" s="554"/>
      <c r="C60" s="554"/>
      <c r="D60" s="554"/>
      <c r="E60" s="550"/>
      <c r="F60" s="555"/>
      <c r="G60" s="209"/>
      <c r="H60" s="209"/>
      <c r="I60" s="209"/>
      <c r="J60" s="209"/>
      <c r="K60" s="209"/>
      <c r="L60" s="209"/>
      <c r="M60" s="209"/>
      <c r="N60" s="209"/>
      <c r="O60" s="209"/>
      <c r="P60" s="209"/>
      <c r="Q60" s="209"/>
      <c r="R60" s="209"/>
      <c r="S60" s="209"/>
      <c r="T60" s="209"/>
      <c r="U60" s="209"/>
      <c r="V60" s="209"/>
      <c r="W60" s="209"/>
      <c r="X60" s="209"/>
      <c r="Y60" s="209"/>
      <c r="Z60" s="209"/>
      <c r="AA60" s="209"/>
      <c r="AB60" s="209"/>
    </row>
    <row r="61" spans="1:28" x14ac:dyDescent="0.2">
      <c r="A61" s="1153" t="s">
        <v>739</v>
      </c>
      <c r="B61" s="1153"/>
      <c r="C61" s="1153"/>
      <c r="D61" s="1153"/>
      <c r="E61" s="550"/>
      <c r="F61" s="555"/>
      <c r="G61" s="194"/>
      <c r="H61" s="194"/>
      <c r="I61" s="194"/>
      <c r="J61" s="194"/>
      <c r="K61" s="194"/>
      <c r="L61" s="194"/>
      <c r="M61" s="194"/>
      <c r="N61" s="194"/>
      <c r="O61" s="194"/>
      <c r="P61" s="194"/>
      <c r="Q61" s="194"/>
      <c r="R61" s="194"/>
      <c r="S61" s="194"/>
      <c r="T61" s="194"/>
      <c r="U61" s="194"/>
      <c r="V61" s="194"/>
      <c r="W61" s="194"/>
      <c r="X61" s="194"/>
      <c r="Y61" s="194"/>
      <c r="Z61" s="194"/>
      <c r="AA61" s="194"/>
      <c r="AB61" s="194"/>
    </row>
    <row r="62" spans="1:28" x14ac:dyDescent="0.2">
      <c r="A62" s="1153" t="s">
        <v>129</v>
      </c>
      <c r="B62" s="1153"/>
      <c r="C62" s="1153"/>
      <c r="D62" s="1153"/>
      <c r="E62" s="550"/>
      <c r="F62" s="555"/>
      <c r="G62" s="194"/>
      <c r="H62" s="194"/>
      <c r="I62" s="194"/>
      <c r="J62" s="194"/>
      <c r="K62" s="194"/>
      <c r="L62" s="194"/>
      <c r="M62" s="194"/>
      <c r="N62" s="194"/>
      <c r="O62" s="194"/>
      <c r="P62" s="194"/>
      <c r="Q62" s="194"/>
      <c r="R62" s="194"/>
      <c r="S62" s="194"/>
      <c r="T62" s="194"/>
      <c r="U62" s="194"/>
      <c r="V62" s="194"/>
      <c r="W62" s="194"/>
      <c r="X62" s="194"/>
      <c r="Y62" s="194"/>
      <c r="Z62" s="194"/>
      <c r="AA62" s="194"/>
      <c r="AB62" s="194"/>
    </row>
    <row r="63" spans="1:28" x14ac:dyDescent="0.2">
      <c r="A63" s="554" t="s">
        <v>496</v>
      </c>
      <c r="B63" s="554"/>
      <c r="C63" s="554"/>
      <c r="D63" s="554"/>
      <c r="E63" s="550"/>
      <c r="F63" s="555"/>
      <c r="G63" s="192"/>
      <c r="H63" s="811">
        <v>56153129</v>
      </c>
      <c r="I63" s="811">
        <v>585547507</v>
      </c>
      <c r="J63" s="811">
        <v>276216563</v>
      </c>
      <c r="K63" s="811">
        <v>0</v>
      </c>
      <c r="L63" s="811">
        <v>149242648</v>
      </c>
      <c r="M63" s="811">
        <v>149595974</v>
      </c>
      <c r="N63" s="811">
        <v>70836870</v>
      </c>
      <c r="O63" s="811">
        <v>0</v>
      </c>
      <c r="P63" s="811">
        <v>19358471</v>
      </c>
      <c r="Q63" s="811">
        <v>311448774</v>
      </c>
      <c r="R63" s="811">
        <v>0</v>
      </c>
      <c r="S63" s="811">
        <v>72186759</v>
      </c>
      <c r="T63" s="811">
        <v>0</v>
      </c>
      <c r="U63" s="811">
        <v>0</v>
      </c>
      <c r="V63" s="811">
        <v>2230096652</v>
      </c>
      <c r="W63" s="811">
        <v>918773623</v>
      </c>
      <c r="X63" s="811">
        <v>0</v>
      </c>
      <c r="Y63" s="811">
        <v>237900221</v>
      </c>
      <c r="Z63" s="811">
        <v>571290302</v>
      </c>
      <c r="AA63" s="811">
        <v>1232530000</v>
      </c>
      <c r="AB63" s="811">
        <v>30000957</v>
      </c>
    </row>
    <row r="64" spans="1:28" x14ac:dyDescent="0.2">
      <c r="A64" s="554"/>
      <c r="B64" s="554"/>
      <c r="C64" s="556" t="s">
        <v>623</v>
      </c>
      <c r="D64" s="554"/>
      <c r="E64" s="559"/>
      <c r="F64" s="560"/>
      <c r="G64" s="15">
        <f>SUM(G59:G63)</f>
        <v>0</v>
      </c>
      <c r="H64" s="15">
        <f t="shared" ref="H64:AB64" si="4">SUM(H59:H63)</f>
        <v>56153129</v>
      </c>
      <c r="I64" s="15">
        <f t="shared" si="4"/>
        <v>585547507</v>
      </c>
      <c r="J64" s="15">
        <f t="shared" si="4"/>
        <v>276216563</v>
      </c>
      <c r="K64" s="15">
        <f t="shared" si="4"/>
        <v>0</v>
      </c>
      <c r="L64" s="15">
        <f t="shared" si="4"/>
        <v>149242648</v>
      </c>
      <c r="M64" s="15">
        <f t="shared" si="4"/>
        <v>149595974</v>
      </c>
      <c r="N64" s="15">
        <f t="shared" si="4"/>
        <v>70836870</v>
      </c>
      <c r="O64" s="15">
        <f t="shared" si="4"/>
        <v>0</v>
      </c>
      <c r="P64" s="15">
        <f t="shared" si="4"/>
        <v>19358471</v>
      </c>
      <c r="Q64" s="15">
        <f t="shared" si="4"/>
        <v>311448774</v>
      </c>
      <c r="R64" s="15">
        <f t="shared" si="4"/>
        <v>0</v>
      </c>
      <c r="S64" s="15">
        <f t="shared" si="4"/>
        <v>72186759</v>
      </c>
      <c r="T64" s="15">
        <f t="shared" si="4"/>
        <v>0</v>
      </c>
      <c r="U64" s="15">
        <f t="shared" si="4"/>
        <v>0</v>
      </c>
      <c r="V64" s="15">
        <f t="shared" si="4"/>
        <v>2230096652</v>
      </c>
      <c r="W64" s="15">
        <f t="shared" si="4"/>
        <v>918773623</v>
      </c>
      <c r="X64" s="15">
        <f t="shared" si="4"/>
        <v>0</v>
      </c>
      <c r="Y64" s="15">
        <f t="shared" si="4"/>
        <v>237900221</v>
      </c>
      <c r="Z64" s="15">
        <f t="shared" si="4"/>
        <v>571290302</v>
      </c>
      <c r="AA64" s="15">
        <f t="shared" si="4"/>
        <v>1232530000</v>
      </c>
      <c r="AB64" s="15">
        <f t="shared" si="4"/>
        <v>30000957</v>
      </c>
    </row>
    <row r="65" spans="1:28" x14ac:dyDescent="0.2">
      <c r="A65" s="545" t="s">
        <v>1718</v>
      </c>
      <c r="B65" s="554"/>
      <c r="C65" s="554"/>
      <c r="D65" s="554"/>
      <c r="E65" s="550"/>
      <c r="F65" s="550"/>
      <c r="G65" s="192"/>
      <c r="H65" s="811"/>
      <c r="I65" s="811"/>
      <c r="J65" s="811"/>
      <c r="K65" s="811"/>
      <c r="L65" s="811"/>
      <c r="M65" s="811"/>
      <c r="N65" s="811"/>
      <c r="O65" s="811"/>
      <c r="P65" s="811"/>
      <c r="Q65" s="811"/>
      <c r="R65" s="811"/>
      <c r="S65" s="811"/>
      <c r="T65" s="811"/>
      <c r="U65" s="811"/>
      <c r="V65" s="1122">
        <v>2687545</v>
      </c>
      <c r="W65" s="1125">
        <v>232000</v>
      </c>
      <c r="X65" s="811"/>
      <c r="Y65" s="811"/>
      <c r="Z65" s="811"/>
      <c r="AA65" s="811"/>
      <c r="AB65" s="811"/>
    </row>
    <row r="66" spans="1:28" x14ac:dyDescent="0.2">
      <c r="A66" s="556" t="s">
        <v>190</v>
      </c>
      <c r="B66" s="554"/>
      <c r="C66" s="554"/>
      <c r="D66" s="554"/>
      <c r="E66" s="550"/>
      <c r="F66" s="555"/>
      <c r="G66" s="192"/>
      <c r="H66" s="811">
        <v>2045113</v>
      </c>
      <c r="I66" s="811">
        <v>208786858</v>
      </c>
      <c r="J66" s="811">
        <v>37129083</v>
      </c>
      <c r="K66" s="811">
        <v>0</v>
      </c>
      <c r="L66" s="811">
        <v>6264640</v>
      </c>
      <c r="M66" s="811">
        <v>0</v>
      </c>
      <c r="N66" s="811">
        <v>0</v>
      </c>
      <c r="O66" s="1119">
        <f>0+1793194</f>
        <v>1793194</v>
      </c>
      <c r="P66" s="811">
        <v>0</v>
      </c>
      <c r="Q66" s="811">
        <v>0</v>
      </c>
      <c r="R66" s="811">
        <v>0</v>
      </c>
      <c r="S66" s="811">
        <v>1417480</v>
      </c>
      <c r="T66" s="811">
        <v>0</v>
      </c>
      <c r="U66" s="811">
        <v>0</v>
      </c>
      <c r="V66" s="811">
        <v>108001160</v>
      </c>
      <c r="W66" s="811">
        <v>0</v>
      </c>
      <c r="X66" s="811">
        <v>0</v>
      </c>
      <c r="Y66" s="811">
        <v>0</v>
      </c>
      <c r="Z66" s="811">
        <v>5569911</v>
      </c>
      <c r="AA66" s="811">
        <v>11305000</v>
      </c>
      <c r="AB66" s="811">
        <v>0</v>
      </c>
    </row>
    <row r="67" spans="1:28" x14ac:dyDescent="0.2">
      <c r="A67" s="554"/>
      <c r="B67" s="554"/>
      <c r="C67" s="554"/>
      <c r="D67" s="554"/>
      <c r="E67" s="554"/>
      <c r="F67" s="554"/>
      <c r="G67" s="554"/>
      <c r="H67" s="554"/>
      <c r="I67" s="554"/>
      <c r="J67" s="554"/>
      <c r="K67" s="554"/>
      <c r="L67" s="554"/>
      <c r="M67" s="554"/>
      <c r="N67" s="554"/>
      <c r="O67" s="554"/>
      <c r="P67" s="554"/>
      <c r="Q67" s="554"/>
      <c r="R67" s="554"/>
      <c r="S67" s="554"/>
      <c r="T67" s="554"/>
      <c r="U67" s="554"/>
      <c r="V67" s="554"/>
      <c r="W67" s="554"/>
      <c r="X67" s="554"/>
      <c r="Y67" s="554"/>
      <c r="Z67" s="554"/>
      <c r="AA67" s="554"/>
      <c r="AB67" s="554"/>
    </row>
    <row r="68" spans="1:28" x14ac:dyDescent="0.2">
      <c r="A68" s="554"/>
      <c r="B68" s="554"/>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row>
    <row r="69" spans="1:28" x14ac:dyDescent="0.2">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c r="AB69" s="554"/>
    </row>
    <row r="70" spans="1:28" x14ac:dyDescent="0.2">
      <c r="A70" s="554"/>
      <c r="B70" s="554"/>
      <c r="C70" s="554"/>
      <c r="D70" s="554"/>
      <c r="E70" s="554"/>
      <c r="F70" s="554"/>
      <c r="G70" s="554"/>
      <c r="H70" s="554"/>
      <c r="I70" s="554"/>
      <c r="J70" s="554"/>
      <c r="K70" s="554"/>
      <c r="L70" s="554"/>
      <c r="M70" s="554"/>
      <c r="N70" s="554"/>
      <c r="O70" s="554"/>
      <c r="P70" s="554"/>
      <c r="Q70" s="554"/>
      <c r="R70" s="554"/>
      <c r="S70" s="554"/>
      <c r="T70" s="554"/>
      <c r="U70" s="554"/>
      <c r="V70" s="554"/>
      <c r="W70" s="554"/>
      <c r="X70" s="554"/>
      <c r="Y70" s="554"/>
      <c r="Z70" s="554"/>
      <c r="AA70" s="554"/>
      <c r="AB70" s="554"/>
    </row>
    <row r="71" spans="1:28" x14ac:dyDescent="0.2">
      <c r="A71" s="554"/>
      <c r="B71" s="572"/>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row>
    <row r="72" spans="1:28" x14ac:dyDescent="0.2">
      <c r="A72" s="554"/>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row>
    <row r="73" spans="1:28" x14ac:dyDescent="0.2">
      <c r="A73" s="556"/>
      <c r="B73" s="554"/>
      <c r="C73" s="556"/>
      <c r="D73" s="556" t="s">
        <v>1433</v>
      </c>
      <c r="E73" s="550"/>
      <c r="F73" s="550"/>
      <c r="G73" s="811"/>
      <c r="H73" s="811">
        <v>37045664</v>
      </c>
      <c r="I73" s="811">
        <v>19869699</v>
      </c>
      <c r="J73" s="811">
        <v>25133971</v>
      </c>
      <c r="K73" s="811">
        <v>0</v>
      </c>
      <c r="L73" s="811">
        <v>767471</v>
      </c>
      <c r="M73" s="811">
        <v>65256373</v>
      </c>
      <c r="N73" s="811">
        <v>19396103</v>
      </c>
      <c r="O73" s="811">
        <v>0</v>
      </c>
      <c r="P73" s="811">
        <v>2674929</v>
      </c>
      <c r="Q73" s="811">
        <v>20799601</v>
      </c>
      <c r="R73" s="811">
        <v>0</v>
      </c>
      <c r="S73" s="811">
        <v>4269143</v>
      </c>
      <c r="T73" s="811">
        <v>0</v>
      </c>
      <c r="U73" s="811">
        <v>0</v>
      </c>
      <c r="V73" s="811">
        <v>115680324</v>
      </c>
      <c r="W73" s="811">
        <v>31608039</v>
      </c>
      <c r="X73" s="811">
        <v>0</v>
      </c>
      <c r="Y73" s="811">
        <v>27800905</v>
      </c>
      <c r="Z73" s="811">
        <v>0</v>
      </c>
      <c r="AA73" s="811">
        <v>164520000</v>
      </c>
      <c r="AB73" s="811">
        <v>542828</v>
      </c>
    </row>
    <row r="74" spans="1:28" x14ac:dyDescent="0.2">
      <c r="A74" s="554"/>
      <c r="B74" s="554"/>
      <c r="C74" s="554"/>
      <c r="D74" s="554"/>
      <c r="E74" s="554"/>
      <c r="F74" s="554"/>
      <c r="G74" s="554"/>
      <c r="H74" s="554"/>
      <c r="I74" s="554"/>
      <c r="J74" s="554"/>
      <c r="K74" s="554"/>
      <c r="L74" s="554"/>
      <c r="M74" s="554"/>
      <c r="N74" s="554"/>
      <c r="O74" s="554"/>
      <c r="P74" s="554"/>
      <c r="Q74" s="554"/>
      <c r="R74" s="554"/>
      <c r="S74" s="554"/>
      <c r="T74" s="554"/>
      <c r="U74" s="554"/>
      <c r="V74" s="554"/>
      <c r="W74" s="554"/>
      <c r="X74" s="554"/>
      <c r="Y74" s="554"/>
      <c r="Z74" s="554"/>
      <c r="AA74" s="554"/>
      <c r="AB74" s="554"/>
    </row>
    <row r="75" spans="1:28" x14ac:dyDescent="0.2">
      <c r="A75" s="554"/>
      <c r="B75" s="554"/>
      <c r="C75" s="554"/>
      <c r="D75" s="554"/>
      <c r="E75" s="554"/>
      <c r="F75" s="554"/>
      <c r="G75" s="554"/>
      <c r="H75" s="554"/>
      <c r="I75" s="554"/>
      <c r="J75" s="554"/>
      <c r="K75" s="554"/>
      <c r="L75" s="554"/>
      <c r="M75" s="554"/>
      <c r="N75" s="554"/>
      <c r="O75" s="554"/>
      <c r="P75" s="554"/>
      <c r="Q75" s="554"/>
      <c r="R75" s="554"/>
      <c r="S75" s="554"/>
      <c r="T75" s="554"/>
      <c r="U75" s="554"/>
      <c r="V75" s="554"/>
      <c r="W75" s="554"/>
      <c r="X75" s="554"/>
      <c r="Y75" s="554"/>
      <c r="Z75" s="554"/>
      <c r="AA75" s="554"/>
      <c r="AB75" s="554"/>
    </row>
    <row r="76" spans="1:28" x14ac:dyDescent="0.2">
      <c r="A76" s="554"/>
      <c r="B76" s="554"/>
      <c r="C76" s="554"/>
      <c r="D76" s="554"/>
      <c r="E76" s="554"/>
      <c r="F76" s="554"/>
      <c r="G76" s="554"/>
      <c r="H76" s="554"/>
      <c r="I76" s="554"/>
      <c r="J76" s="554"/>
      <c r="K76" s="554"/>
      <c r="L76" s="554"/>
      <c r="M76" s="554"/>
      <c r="N76" s="554"/>
      <c r="O76" s="554"/>
      <c r="P76" s="554"/>
      <c r="Q76" s="554"/>
      <c r="R76" s="554"/>
      <c r="S76" s="554"/>
      <c r="T76" s="554"/>
      <c r="U76" s="554"/>
      <c r="V76" s="554"/>
      <c r="W76" s="554"/>
      <c r="X76" s="554"/>
      <c r="Y76" s="554"/>
      <c r="Z76" s="554"/>
      <c r="AA76" s="554"/>
      <c r="AB76" s="554"/>
    </row>
    <row r="77" spans="1:28" x14ac:dyDescent="0.2">
      <c r="A77" s="554"/>
      <c r="B77" s="554"/>
      <c r="C77" s="554"/>
      <c r="D77" s="554"/>
      <c r="E77" s="554"/>
      <c r="F77" s="554"/>
      <c r="G77" s="554"/>
      <c r="H77" s="554"/>
      <c r="I77" s="554"/>
      <c r="J77" s="554"/>
      <c r="K77" s="554"/>
      <c r="L77" s="554"/>
      <c r="M77" s="554"/>
      <c r="N77" s="554"/>
      <c r="O77" s="554"/>
      <c r="P77" s="554"/>
      <c r="Q77" s="554"/>
      <c r="R77" s="554"/>
      <c r="S77" s="554"/>
      <c r="T77" s="554"/>
      <c r="U77" s="554"/>
      <c r="V77" s="554"/>
      <c r="W77" s="554"/>
      <c r="X77" s="554"/>
      <c r="Y77" s="554"/>
      <c r="Z77" s="554"/>
      <c r="AA77" s="554"/>
      <c r="AB77" s="554"/>
    </row>
    <row r="78" spans="1:28" x14ac:dyDescent="0.2">
      <c r="A78" s="554"/>
      <c r="B78" s="554"/>
      <c r="C78" s="554"/>
      <c r="D78" s="554"/>
      <c r="E78" s="554"/>
      <c r="F78" s="554"/>
      <c r="G78" s="554"/>
      <c r="H78" s="554"/>
      <c r="I78" s="554"/>
      <c r="J78" s="554"/>
      <c r="K78" s="554"/>
      <c r="L78" s="554"/>
      <c r="M78" s="554"/>
      <c r="N78" s="554"/>
      <c r="O78" s="554"/>
      <c r="P78" s="554"/>
      <c r="Q78" s="554"/>
      <c r="R78" s="554"/>
      <c r="S78" s="554"/>
      <c r="T78" s="554"/>
      <c r="U78" s="554"/>
      <c r="V78" s="554"/>
      <c r="W78" s="554"/>
      <c r="X78" s="554"/>
      <c r="Y78" s="554"/>
      <c r="Z78" s="554"/>
      <c r="AA78" s="554"/>
      <c r="AB78" s="554"/>
    </row>
    <row r="79" spans="1:28" x14ac:dyDescent="0.2">
      <c r="A79" s="554"/>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row>
    <row r="80" spans="1:28" x14ac:dyDescent="0.2">
      <c r="A80" s="554"/>
      <c r="B80" s="554"/>
      <c r="C80" s="554"/>
      <c r="D80" s="554"/>
      <c r="E80" s="554"/>
      <c r="F80" s="554"/>
      <c r="G80" s="554"/>
      <c r="H80" s="554"/>
      <c r="I80" s="554"/>
      <c r="J80" s="554"/>
      <c r="K80" s="554"/>
      <c r="L80" s="554"/>
      <c r="M80" s="554"/>
      <c r="N80" s="554"/>
      <c r="O80" s="554"/>
      <c r="P80" s="554"/>
      <c r="Q80" s="554"/>
      <c r="R80" s="554"/>
      <c r="S80" s="554"/>
      <c r="T80" s="554"/>
      <c r="U80" s="554"/>
      <c r="V80" s="554"/>
      <c r="W80" s="554"/>
      <c r="X80" s="554"/>
      <c r="Y80" s="554"/>
      <c r="Z80" s="554"/>
      <c r="AA80" s="554"/>
      <c r="AB80" s="554"/>
    </row>
    <row r="81" spans="1:28" x14ac:dyDescent="0.2">
      <c r="A81" s="556"/>
      <c r="B81" s="554"/>
      <c r="C81" s="556"/>
      <c r="D81" s="556" t="s">
        <v>1435</v>
      </c>
      <c r="E81" s="550"/>
      <c r="F81" s="550"/>
      <c r="G81" s="811"/>
      <c r="H81" s="811">
        <v>77356160</v>
      </c>
      <c r="I81" s="811">
        <v>24735078</v>
      </c>
      <c r="J81" s="811">
        <v>53392952</v>
      </c>
      <c r="K81" s="811">
        <v>0</v>
      </c>
      <c r="L81" s="811">
        <v>2597410</v>
      </c>
      <c r="M81" s="811">
        <v>154293495</v>
      </c>
      <c r="N81" s="811">
        <v>9882375</v>
      </c>
      <c r="O81" s="811">
        <v>0</v>
      </c>
      <c r="P81" s="811">
        <v>17164609</v>
      </c>
      <c r="Q81" s="811">
        <v>18303813</v>
      </c>
      <c r="R81" s="811">
        <v>0</v>
      </c>
      <c r="S81" s="811">
        <v>12617310</v>
      </c>
      <c r="T81" s="811">
        <v>0</v>
      </c>
      <c r="U81" s="811">
        <v>0</v>
      </c>
      <c r="V81" s="811">
        <v>493687060</v>
      </c>
      <c r="W81" s="811">
        <v>104207967</v>
      </c>
      <c r="X81" s="811">
        <v>0</v>
      </c>
      <c r="Y81" s="811">
        <v>47717683</v>
      </c>
      <c r="Z81" s="811">
        <v>52323</v>
      </c>
      <c r="AA81" s="811">
        <v>237732000</v>
      </c>
      <c r="AB81" s="811">
        <v>4285936</v>
      </c>
    </row>
    <row r="82" spans="1:28" x14ac:dyDescent="0.2">
      <c r="A82" s="554"/>
      <c r="B82" s="554"/>
      <c r="C82" s="554"/>
      <c r="D82" s="554"/>
      <c r="E82" s="550"/>
      <c r="F82" s="550"/>
      <c r="G82" s="12"/>
      <c r="H82" s="12"/>
      <c r="I82" s="12"/>
      <c r="J82" s="12"/>
      <c r="K82" s="12"/>
      <c r="L82" s="12"/>
      <c r="M82" s="12"/>
      <c r="N82" s="12"/>
      <c r="O82" s="12"/>
      <c r="P82" s="12"/>
      <c r="Q82" s="12"/>
      <c r="R82" s="12"/>
      <c r="S82" s="12"/>
      <c r="T82" s="12"/>
      <c r="U82" s="12"/>
      <c r="V82" s="12"/>
      <c r="W82" s="12"/>
      <c r="X82" s="12"/>
      <c r="Y82" s="12"/>
      <c r="Z82" s="12"/>
      <c r="AA82" s="12"/>
      <c r="AB82" s="12"/>
    </row>
    <row r="83" spans="1:28" ht="13.5" thickBot="1" x14ac:dyDescent="0.25">
      <c r="A83" s="554"/>
      <c r="B83" s="554"/>
      <c r="C83" s="554"/>
      <c r="D83" s="554" t="s">
        <v>720</v>
      </c>
      <c r="E83" s="550"/>
      <c r="F83" s="550"/>
      <c r="G83" s="20">
        <f>SUM(G9,G17,G20:G37,G43,G45,G46,G57,G64,G65,G66,G73,G81)</f>
        <v>0</v>
      </c>
      <c r="H83" s="20">
        <f t="shared" ref="H83:AB83" si="5">SUM(H9,H17,H20:H37,H43,H45,H46,H57,H64,H65,H66,H73,H81)</f>
        <v>197645048</v>
      </c>
      <c r="I83" s="20">
        <f t="shared" si="5"/>
        <v>1436903934</v>
      </c>
      <c r="J83" s="20">
        <f t="shared" si="5"/>
        <v>604906807</v>
      </c>
      <c r="K83" s="20">
        <f t="shared" si="5"/>
        <v>0</v>
      </c>
      <c r="L83" s="20">
        <f t="shared" si="5"/>
        <v>219159641</v>
      </c>
      <c r="M83" s="20">
        <f t="shared" si="5"/>
        <v>424741653</v>
      </c>
      <c r="N83" s="20">
        <f t="shared" si="5"/>
        <v>135705360</v>
      </c>
      <c r="O83" s="20">
        <f t="shared" si="5"/>
        <v>12172680</v>
      </c>
      <c r="P83" s="20">
        <f t="shared" si="5"/>
        <v>124606873</v>
      </c>
      <c r="Q83" s="20">
        <f t="shared" si="5"/>
        <v>483641883</v>
      </c>
      <c r="R83" s="20">
        <f t="shared" si="5"/>
        <v>339667</v>
      </c>
      <c r="S83" s="20">
        <f t="shared" si="5"/>
        <v>110334819</v>
      </c>
      <c r="T83" s="20">
        <f t="shared" si="5"/>
        <v>0</v>
      </c>
      <c r="U83" s="20">
        <f t="shared" si="5"/>
        <v>0</v>
      </c>
      <c r="V83" s="20">
        <f t="shared" si="5"/>
        <v>15678554285</v>
      </c>
      <c r="W83" s="20">
        <f t="shared" si="5"/>
        <v>1348140923</v>
      </c>
      <c r="X83" s="20">
        <f t="shared" si="5"/>
        <v>0</v>
      </c>
      <c r="Y83" s="20">
        <f t="shared" si="5"/>
        <v>473623691</v>
      </c>
      <c r="Z83" s="20">
        <f t="shared" si="5"/>
        <v>734104175</v>
      </c>
      <c r="AA83" s="20">
        <f t="shared" si="5"/>
        <v>2838339000</v>
      </c>
      <c r="AB83" s="20">
        <f t="shared" si="5"/>
        <v>45900263</v>
      </c>
    </row>
    <row r="84" spans="1:28" ht="13.5" thickTop="1" x14ac:dyDescent="0.2">
      <c r="A84" s="554"/>
      <c r="B84" s="554"/>
      <c r="C84" s="554"/>
      <c r="D84" s="554"/>
      <c r="E84" s="550"/>
      <c r="F84" s="550"/>
      <c r="G84" s="12"/>
      <c r="H84" s="12"/>
      <c r="I84" s="12"/>
      <c r="J84" s="12"/>
      <c r="K84" s="12"/>
      <c r="L84" s="12"/>
      <c r="M84" s="12"/>
      <c r="N84" s="12"/>
      <c r="O84" s="12"/>
      <c r="P84" s="12"/>
      <c r="Q84" s="12"/>
      <c r="R84" s="12"/>
      <c r="S84" s="12"/>
      <c r="T84" s="12"/>
      <c r="U84" s="12"/>
      <c r="V84" s="12"/>
      <c r="W84" s="12"/>
      <c r="X84" s="12"/>
      <c r="Y84" s="12"/>
      <c r="Z84" s="12"/>
      <c r="AA84" s="12"/>
      <c r="AB84" s="12"/>
    </row>
    <row r="85" spans="1:28" x14ac:dyDescent="0.2">
      <c r="A85" s="547" t="s">
        <v>721</v>
      </c>
      <c r="B85" s="554"/>
      <c r="C85" s="554"/>
      <c r="D85" s="554"/>
      <c r="E85" s="550"/>
      <c r="F85" s="550"/>
      <c r="G85" s="12"/>
      <c r="H85" s="12"/>
      <c r="I85" s="12"/>
      <c r="J85" s="12"/>
      <c r="K85" s="12"/>
      <c r="L85" s="12"/>
      <c r="M85" s="12"/>
      <c r="N85" s="12"/>
      <c r="O85" s="12"/>
      <c r="P85" s="12"/>
      <c r="Q85" s="12"/>
      <c r="R85" s="12"/>
      <c r="S85" s="12"/>
      <c r="T85" s="12"/>
      <c r="U85" s="12"/>
      <c r="V85" s="12"/>
      <c r="W85" s="12"/>
      <c r="X85" s="12"/>
      <c r="Y85" s="12"/>
      <c r="Z85" s="12"/>
      <c r="AA85" s="12"/>
      <c r="AB85" s="12"/>
    </row>
    <row r="86" spans="1:28" x14ac:dyDescent="0.2">
      <c r="A86" s="554" t="s">
        <v>212</v>
      </c>
      <c r="B86" s="554"/>
      <c r="C86" s="554"/>
      <c r="D86" s="554"/>
      <c r="E86" s="550"/>
      <c r="F86" s="555"/>
      <c r="G86" s="209"/>
      <c r="H86" s="209"/>
      <c r="I86" s="209"/>
      <c r="J86" s="209"/>
      <c r="K86" s="209"/>
      <c r="L86" s="209"/>
      <c r="M86" s="209"/>
      <c r="N86" s="209"/>
      <c r="O86" s="209"/>
      <c r="P86" s="209"/>
      <c r="Q86" s="209"/>
      <c r="R86" s="209"/>
      <c r="S86" s="209"/>
      <c r="T86" s="209"/>
      <c r="U86" s="209"/>
      <c r="V86" s="209"/>
      <c r="W86" s="209"/>
      <c r="X86" s="209"/>
      <c r="Y86" s="209"/>
      <c r="Z86" s="209"/>
      <c r="AA86" s="209"/>
      <c r="AB86" s="209"/>
    </row>
    <row r="87" spans="1:28" x14ac:dyDescent="0.2">
      <c r="A87" s="554"/>
      <c r="B87" s="561" t="s">
        <v>293</v>
      </c>
      <c r="C87" s="554"/>
      <c r="D87" s="554"/>
      <c r="E87" s="550"/>
      <c r="F87" s="555"/>
      <c r="G87" s="194"/>
      <c r="H87" s="194"/>
      <c r="I87" s="194"/>
      <c r="J87" s="194"/>
      <c r="K87" s="194"/>
      <c r="L87" s="194"/>
      <c r="M87" s="194"/>
      <c r="N87" s="194"/>
      <c r="O87" s="194"/>
      <c r="P87" s="194"/>
      <c r="Q87" s="194"/>
      <c r="R87" s="194"/>
      <c r="S87" s="194"/>
      <c r="T87" s="194"/>
      <c r="U87" s="194"/>
      <c r="V87" s="194"/>
      <c r="W87" s="194"/>
      <c r="X87" s="194"/>
      <c r="Y87" s="194"/>
      <c r="Z87" s="194"/>
      <c r="AA87" s="194"/>
      <c r="AB87" s="194"/>
    </row>
    <row r="88" spans="1:28" x14ac:dyDescent="0.2">
      <c r="A88" s="554"/>
      <c r="B88" s="561" t="s">
        <v>294</v>
      </c>
      <c r="C88" s="554"/>
      <c r="D88" s="554"/>
      <c r="E88" s="550"/>
      <c r="F88" s="555"/>
      <c r="G88" s="194"/>
      <c r="H88" s="194"/>
      <c r="I88" s="194"/>
      <c r="J88" s="194"/>
      <c r="K88" s="194"/>
      <c r="L88" s="194"/>
      <c r="M88" s="194"/>
      <c r="N88" s="194"/>
      <c r="O88" s="194"/>
      <c r="P88" s="194"/>
      <c r="Q88" s="194"/>
      <c r="R88" s="194"/>
      <c r="S88" s="194"/>
      <c r="T88" s="194"/>
      <c r="U88" s="194"/>
      <c r="V88" s="194"/>
      <c r="W88" s="194"/>
      <c r="X88" s="194"/>
      <c r="Y88" s="194"/>
      <c r="Z88" s="194"/>
      <c r="AA88" s="194"/>
      <c r="AB88" s="194"/>
    </row>
    <row r="89" spans="1:28" x14ac:dyDescent="0.2">
      <c r="A89" s="554"/>
      <c r="B89" s="561" t="s">
        <v>597</v>
      </c>
      <c r="C89" s="554"/>
      <c r="D89" s="554"/>
      <c r="E89" s="550"/>
      <c r="F89" s="555"/>
      <c r="G89" s="194"/>
      <c r="H89" s="194"/>
      <c r="I89" s="194"/>
      <c r="J89" s="194"/>
      <c r="K89" s="194"/>
      <c r="L89" s="194"/>
      <c r="M89" s="194"/>
      <c r="N89" s="194"/>
      <c r="O89" s="194"/>
      <c r="P89" s="194"/>
      <c r="Q89" s="194"/>
      <c r="R89" s="194"/>
      <c r="S89" s="194"/>
      <c r="T89" s="194"/>
      <c r="U89" s="194"/>
      <c r="V89" s="194"/>
      <c r="W89" s="194"/>
      <c r="X89" s="194"/>
      <c r="Y89" s="194"/>
      <c r="Z89" s="194"/>
      <c r="AA89" s="194"/>
      <c r="AB89" s="194"/>
    </row>
    <row r="90" spans="1:28" x14ac:dyDescent="0.2">
      <c r="A90" s="554"/>
      <c r="B90" s="561" t="s">
        <v>482</v>
      </c>
      <c r="C90" s="554"/>
      <c r="D90" s="554"/>
      <c r="E90" s="550"/>
      <c r="F90" s="555"/>
      <c r="G90" s="194"/>
      <c r="H90" s="194"/>
      <c r="I90" s="194"/>
      <c r="J90" s="194"/>
      <c r="K90" s="194"/>
      <c r="L90" s="194"/>
      <c r="M90" s="194"/>
      <c r="N90" s="194"/>
      <c r="O90" s="194"/>
      <c r="P90" s="194"/>
      <c r="Q90" s="194"/>
      <c r="R90" s="194"/>
      <c r="S90" s="194"/>
      <c r="T90" s="194"/>
      <c r="U90" s="194"/>
      <c r="V90" s="194"/>
      <c r="W90" s="194"/>
      <c r="X90" s="194"/>
      <c r="Y90" s="194"/>
      <c r="Z90" s="194"/>
      <c r="AA90" s="194"/>
      <c r="AB90" s="194"/>
    </row>
    <row r="91" spans="1:28" x14ac:dyDescent="0.2">
      <c r="A91" s="554"/>
      <c r="B91" s="554"/>
      <c r="C91" s="554" t="s">
        <v>213</v>
      </c>
      <c r="D91" s="554"/>
      <c r="E91" s="550"/>
      <c r="F91" s="555"/>
      <c r="G91" s="194">
        <f t="shared" ref="G91:AB91" si="6">SUM(G87:G90)</f>
        <v>0</v>
      </c>
      <c r="H91" s="194">
        <f t="shared" si="6"/>
        <v>0</v>
      </c>
      <c r="I91" s="194">
        <f t="shared" si="6"/>
        <v>0</v>
      </c>
      <c r="J91" s="194">
        <f t="shared" si="6"/>
        <v>0</v>
      </c>
      <c r="K91" s="194">
        <f t="shared" si="6"/>
        <v>0</v>
      </c>
      <c r="L91" s="194">
        <f t="shared" si="6"/>
        <v>0</v>
      </c>
      <c r="M91" s="194">
        <f t="shared" si="6"/>
        <v>0</v>
      </c>
      <c r="N91" s="194">
        <f t="shared" si="6"/>
        <v>0</v>
      </c>
      <c r="O91" s="194">
        <f t="shared" si="6"/>
        <v>0</v>
      </c>
      <c r="P91" s="194">
        <f t="shared" si="6"/>
        <v>0</v>
      </c>
      <c r="Q91" s="194">
        <f t="shared" si="6"/>
        <v>0</v>
      </c>
      <c r="R91" s="194">
        <f t="shared" si="6"/>
        <v>0</v>
      </c>
      <c r="S91" s="194">
        <f t="shared" si="6"/>
        <v>0</v>
      </c>
      <c r="T91" s="194">
        <f t="shared" si="6"/>
        <v>0</v>
      </c>
      <c r="U91" s="194">
        <f t="shared" si="6"/>
        <v>0</v>
      </c>
      <c r="V91" s="194">
        <f t="shared" si="6"/>
        <v>0</v>
      </c>
      <c r="W91" s="194">
        <f t="shared" si="6"/>
        <v>0</v>
      </c>
      <c r="X91" s="194">
        <f t="shared" si="6"/>
        <v>0</v>
      </c>
      <c r="Y91" s="194">
        <f t="shared" si="6"/>
        <v>0</v>
      </c>
      <c r="Z91" s="194">
        <f t="shared" si="6"/>
        <v>0</v>
      </c>
      <c r="AA91" s="194">
        <f t="shared" si="6"/>
        <v>0</v>
      </c>
      <c r="AB91" s="194">
        <f t="shared" si="6"/>
        <v>0</v>
      </c>
    </row>
    <row r="92" spans="1:28" x14ac:dyDescent="0.2">
      <c r="A92" s="554" t="s">
        <v>599</v>
      </c>
      <c r="B92" s="554"/>
      <c r="C92" s="554"/>
      <c r="D92" s="554"/>
      <c r="E92" s="550"/>
      <c r="F92" s="555"/>
      <c r="G92" s="194"/>
      <c r="H92" s="194"/>
      <c r="I92" s="194"/>
      <c r="J92" s="194"/>
      <c r="K92" s="194"/>
      <c r="L92" s="194"/>
      <c r="M92" s="194"/>
      <c r="N92" s="194"/>
      <c r="O92" s="194"/>
      <c r="P92" s="194"/>
      <c r="Q92" s="194"/>
      <c r="R92" s="194"/>
      <c r="S92" s="194"/>
      <c r="T92" s="194"/>
      <c r="U92" s="194"/>
      <c r="V92" s="194"/>
      <c r="W92" s="194"/>
      <c r="X92" s="194"/>
      <c r="Y92" s="194"/>
      <c r="Z92" s="194"/>
      <c r="AA92" s="194"/>
      <c r="AB92" s="194"/>
    </row>
    <row r="93" spans="1:28" x14ac:dyDescent="0.2">
      <c r="A93" s="554" t="s">
        <v>526</v>
      </c>
      <c r="B93" s="554"/>
      <c r="C93" s="554"/>
      <c r="D93" s="554"/>
      <c r="E93" s="550"/>
      <c r="F93" s="555"/>
      <c r="G93" s="192"/>
      <c r="H93" s="811">
        <v>1308476</v>
      </c>
      <c r="I93" s="811">
        <v>660442</v>
      </c>
      <c r="J93" s="811">
        <v>5002004</v>
      </c>
      <c r="K93" s="811">
        <v>0</v>
      </c>
      <c r="L93" s="811">
        <v>124146</v>
      </c>
      <c r="M93" s="811">
        <v>4129234</v>
      </c>
      <c r="N93" s="811">
        <v>654321</v>
      </c>
      <c r="O93" s="811">
        <v>0</v>
      </c>
      <c r="P93" s="811">
        <v>684256</v>
      </c>
      <c r="Q93" s="811">
        <v>9664335</v>
      </c>
      <c r="R93" s="811">
        <v>0</v>
      </c>
      <c r="S93" s="811">
        <v>77690</v>
      </c>
      <c r="T93" s="811">
        <v>0</v>
      </c>
      <c r="U93" s="811">
        <v>0</v>
      </c>
      <c r="V93" s="811">
        <v>92436948</v>
      </c>
      <c r="W93" s="811">
        <v>2744331</v>
      </c>
      <c r="X93" s="811">
        <v>0</v>
      </c>
      <c r="Y93" s="811">
        <v>4160444</v>
      </c>
      <c r="Z93" s="811">
        <v>848984</v>
      </c>
      <c r="AA93" s="811">
        <v>13842000</v>
      </c>
      <c r="AB93" s="811">
        <v>381459</v>
      </c>
    </row>
    <row r="94" spans="1:28" x14ac:dyDescent="0.2">
      <c r="A94" s="554"/>
      <c r="B94" s="554"/>
      <c r="C94" s="556" t="s">
        <v>15</v>
      </c>
      <c r="D94" s="554"/>
      <c r="E94" s="550"/>
      <c r="F94" s="555"/>
      <c r="G94" s="198">
        <f t="shared" ref="G94:AB94" si="7">SUM(G93)</f>
        <v>0</v>
      </c>
      <c r="H94" s="198">
        <f t="shared" si="7"/>
        <v>1308476</v>
      </c>
      <c r="I94" s="198">
        <f t="shared" si="7"/>
        <v>660442</v>
      </c>
      <c r="J94" s="198">
        <f t="shared" si="7"/>
        <v>5002004</v>
      </c>
      <c r="K94" s="198">
        <f t="shared" si="7"/>
        <v>0</v>
      </c>
      <c r="L94" s="198">
        <f t="shared" si="7"/>
        <v>124146</v>
      </c>
      <c r="M94" s="198">
        <f t="shared" si="7"/>
        <v>4129234</v>
      </c>
      <c r="N94" s="198">
        <f t="shared" si="7"/>
        <v>654321</v>
      </c>
      <c r="O94" s="198">
        <f t="shared" si="7"/>
        <v>0</v>
      </c>
      <c r="P94" s="198">
        <f t="shared" si="7"/>
        <v>684256</v>
      </c>
      <c r="Q94" s="198">
        <f t="shared" si="7"/>
        <v>9664335</v>
      </c>
      <c r="R94" s="198">
        <f t="shared" si="7"/>
        <v>0</v>
      </c>
      <c r="S94" s="198">
        <f t="shared" si="7"/>
        <v>77690</v>
      </c>
      <c r="T94" s="198">
        <f t="shared" si="7"/>
        <v>0</v>
      </c>
      <c r="U94" s="198">
        <f t="shared" si="7"/>
        <v>0</v>
      </c>
      <c r="V94" s="198">
        <f t="shared" si="7"/>
        <v>92436948</v>
      </c>
      <c r="W94" s="198">
        <f t="shared" si="7"/>
        <v>2744331</v>
      </c>
      <c r="X94" s="198">
        <f t="shared" si="7"/>
        <v>0</v>
      </c>
      <c r="Y94" s="198">
        <f t="shared" si="7"/>
        <v>4160444</v>
      </c>
      <c r="Z94" s="198">
        <f t="shared" si="7"/>
        <v>848984</v>
      </c>
      <c r="AA94" s="198">
        <f t="shared" si="7"/>
        <v>13842000</v>
      </c>
      <c r="AB94" s="198">
        <f t="shared" si="7"/>
        <v>381459</v>
      </c>
    </row>
    <row r="95" spans="1:28" x14ac:dyDescent="0.2">
      <c r="A95" s="554"/>
      <c r="B95" s="554"/>
      <c r="C95" s="554"/>
      <c r="D95" s="554"/>
      <c r="E95" s="550"/>
      <c r="F95" s="550"/>
      <c r="G95" s="12"/>
      <c r="H95" s="12"/>
      <c r="I95" s="12"/>
      <c r="J95" s="12"/>
      <c r="K95" s="12"/>
      <c r="L95" s="12"/>
      <c r="M95" s="12"/>
      <c r="N95" s="12"/>
      <c r="O95" s="12"/>
      <c r="P95" s="12"/>
      <c r="Q95" s="12"/>
      <c r="R95" s="12"/>
      <c r="S95" s="12"/>
      <c r="T95" s="12"/>
      <c r="U95" s="12"/>
      <c r="V95" s="12"/>
      <c r="W95" s="12"/>
      <c r="X95" s="12"/>
      <c r="Y95" s="12"/>
      <c r="Z95" s="12"/>
      <c r="AA95" s="12"/>
      <c r="AB95" s="12"/>
    </row>
    <row r="96" spans="1:28" x14ac:dyDescent="0.2">
      <c r="A96" s="556" t="s">
        <v>79</v>
      </c>
      <c r="B96" s="554"/>
      <c r="C96" s="554"/>
      <c r="D96" s="554"/>
      <c r="E96" s="550"/>
      <c r="F96" s="550"/>
      <c r="G96" s="192"/>
      <c r="H96" s="811">
        <v>0</v>
      </c>
      <c r="I96" s="811">
        <v>0</v>
      </c>
      <c r="J96" s="811">
        <v>0</v>
      </c>
      <c r="K96" s="811">
        <v>0</v>
      </c>
      <c r="L96" s="811">
        <v>0</v>
      </c>
      <c r="M96" s="811">
        <v>0</v>
      </c>
      <c r="N96" s="811">
        <v>0</v>
      </c>
      <c r="O96" s="811">
        <v>0</v>
      </c>
      <c r="P96" s="811">
        <v>0</v>
      </c>
      <c r="Q96" s="811">
        <v>0</v>
      </c>
      <c r="R96" s="811">
        <v>0</v>
      </c>
      <c r="S96" s="811">
        <v>0</v>
      </c>
      <c r="T96" s="811">
        <v>0</v>
      </c>
      <c r="U96" s="811">
        <v>0</v>
      </c>
      <c r="V96" s="811">
        <v>0</v>
      </c>
      <c r="W96" s="811">
        <v>0</v>
      </c>
      <c r="X96" s="811">
        <v>0</v>
      </c>
      <c r="Y96" s="811">
        <v>0</v>
      </c>
      <c r="Z96" s="811">
        <v>0</v>
      </c>
      <c r="AA96" s="811">
        <v>0</v>
      </c>
      <c r="AB96" s="811">
        <v>0</v>
      </c>
    </row>
    <row r="97" spans="1:28" x14ac:dyDescent="0.2">
      <c r="A97" s="556" t="s">
        <v>722</v>
      </c>
      <c r="B97" s="554"/>
      <c r="C97" s="554"/>
      <c r="D97" s="554"/>
      <c r="E97" s="550"/>
      <c r="F97" s="550"/>
      <c r="G97" s="194"/>
      <c r="H97" s="194"/>
      <c r="I97" s="194"/>
      <c r="J97" s="194"/>
      <c r="K97" s="194"/>
      <c r="L97" s="194"/>
      <c r="M97" s="194"/>
      <c r="N97" s="194"/>
      <c r="O97" s="194"/>
      <c r="P97" s="194"/>
      <c r="Q97" s="194"/>
      <c r="R97" s="194"/>
      <c r="S97" s="194"/>
      <c r="T97" s="194"/>
      <c r="U97" s="194"/>
      <c r="V97" s="194"/>
      <c r="W97" s="194"/>
      <c r="X97" s="194"/>
      <c r="Y97" s="194"/>
      <c r="Z97" s="194"/>
      <c r="AA97" s="194"/>
      <c r="AB97" s="194"/>
    </row>
    <row r="98" spans="1:28" x14ac:dyDescent="0.2">
      <c r="A98" s="556" t="s">
        <v>723</v>
      </c>
      <c r="B98" s="554"/>
      <c r="C98" s="554"/>
      <c r="D98" s="554"/>
      <c r="E98" s="550"/>
      <c r="F98" s="550"/>
      <c r="G98" s="194"/>
      <c r="H98" s="194"/>
      <c r="I98" s="194"/>
      <c r="J98" s="194"/>
      <c r="K98" s="194"/>
      <c r="L98" s="194"/>
      <c r="M98" s="194"/>
      <c r="N98" s="194"/>
      <c r="O98" s="194"/>
      <c r="P98" s="194"/>
      <c r="Q98" s="194"/>
      <c r="R98" s="194"/>
      <c r="S98" s="194"/>
      <c r="T98" s="194"/>
      <c r="U98" s="194"/>
      <c r="V98" s="194"/>
      <c r="W98" s="194"/>
      <c r="X98" s="194"/>
      <c r="Y98" s="194"/>
      <c r="Z98" s="194"/>
      <c r="AA98" s="194"/>
      <c r="AB98" s="194"/>
    </row>
    <row r="99" spans="1:28" x14ac:dyDescent="0.2">
      <c r="A99" s="554" t="s">
        <v>80</v>
      </c>
      <c r="B99" s="554"/>
      <c r="C99" s="554"/>
      <c r="D99" s="554"/>
      <c r="E99" s="550"/>
      <c r="F99" s="550"/>
      <c r="G99" s="192"/>
      <c r="H99" s="811">
        <v>396041</v>
      </c>
      <c r="I99" s="811">
        <v>2331472</v>
      </c>
      <c r="J99" s="811">
        <v>1337080</v>
      </c>
      <c r="K99" s="811">
        <v>0</v>
      </c>
      <c r="L99" s="811">
        <v>130873</v>
      </c>
      <c r="M99" s="811">
        <v>92882</v>
      </c>
      <c r="N99" s="811">
        <v>3082870</v>
      </c>
      <c r="O99" s="811">
        <v>0</v>
      </c>
      <c r="P99" s="811">
        <v>0</v>
      </c>
      <c r="Q99" s="811">
        <v>0</v>
      </c>
      <c r="R99" s="811">
        <v>36433</v>
      </c>
      <c r="S99" s="811">
        <v>340497</v>
      </c>
      <c r="T99" s="811">
        <v>0</v>
      </c>
      <c r="U99" s="811">
        <v>0</v>
      </c>
      <c r="V99" s="811">
        <v>119780175</v>
      </c>
      <c r="W99" s="811">
        <v>165436631</v>
      </c>
      <c r="X99" s="811">
        <v>0</v>
      </c>
      <c r="Y99" s="811">
        <v>651445</v>
      </c>
      <c r="Z99" s="811">
        <v>0</v>
      </c>
      <c r="AA99" s="811">
        <v>0</v>
      </c>
      <c r="AB99" s="811">
        <v>2251429</v>
      </c>
    </row>
    <row r="100" spans="1:28" x14ac:dyDescent="0.2">
      <c r="A100" s="554" t="s">
        <v>518</v>
      </c>
      <c r="B100" s="554"/>
      <c r="C100" s="554"/>
      <c r="D100" s="554"/>
      <c r="E100" s="550"/>
      <c r="F100" s="550"/>
      <c r="G100" s="192"/>
      <c r="H100" s="811">
        <v>0</v>
      </c>
      <c r="I100" s="811">
        <v>0</v>
      </c>
      <c r="J100" s="811">
        <v>0</v>
      </c>
      <c r="K100" s="811">
        <v>0</v>
      </c>
      <c r="L100" s="811">
        <v>0</v>
      </c>
      <c r="M100" s="811">
        <v>108005</v>
      </c>
      <c r="N100" s="811">
        <v>0</v>
      </c>
      <c r="O100" s="811">
        <v>0</v>
      </c>
      <c r="P100" s="811">
        <v>0</v>
      </c>
      <c r="Q100" s="811">
        <v>0</v>
      </c>
      <c r="R100" s="811">
        <v>0</v>
      </c>
      <c r="S100" s="811">
        <v>0</v>
      </c>
      <c r="T100" s="811">
        <v>0</v>
      </c>
      <c r="U100" s="811">
        <v>0</v>
      </c>
      <c r="V100" s="811">
        <v>0</v>
      </c>
      <c r="W100" s="811">
        <v>0</v>
      </c>
      <c r="X100" s="811">
        <v>0</v>
      </c>
      <c r="Y100" s="811">
        <v>0</v>
      </c>
      <c r="Z100" s="811">
        <v>0</v>
      </c>
      <c r="AA100" s="811">
        <v>0</v>
      </c>
      <c r="AB100" s="811">
        <v>0</v>
      </c>
    </row>
    <row r="101" spans="1:28" x14ac:dyDescent="0.2">
      <c r="A101" s="556" t="s">
        <v>216</v>
      </c>
      <c r="B101" s="554"/>
      <c r="C101" s="554"/>
      <c r="D101" s="554"/>
      <c r="E101" s="550"/>
      <c r="F101" s="555"/>
      <c r="G101" s="192"/>
      <c r="H101" s="811">
        <v>64441</v>
      </c>
      <c r="I101" s="811">
        <v>226701</v>
      </c>
      <c r="J101" s="811">
        <v>641195</v>
      </c>
      <c r="K101" s="811">
        <v>0</v>
      </c>
      <c r="L101" s="811">
        <v>364013</v>
      </c>
      <c r="M101" s="811">
        <v>0</v>
      </c>
      <c r="N101" s="811">
        <v>24114</v>
      </c>
      <c r="O101" s="811">
        <v>0</v>
      </c>
      <c r="P101" s="811">
        <v>4959</v>
      </c>
      <c r="Q101" s="811">
        <v>11137958</v>
      </c>
      <c r="R101" s="811">
        <v>0</v>
      </c>
      <c r="S101" s="811">
        <v>52644</v>
      </c>
      <c r="T101" s="811">
        <v>0</v>
      </c>
      <c r="U101" s="811">
        <v>0</v>
      </c>
      <c r="V101" s="811">
        <v>4550425</v>
      </c>
      <c r="W101" s="811">
        <v>5322674</v>
      </c>
      <c r="X101" s="811">
        <v>0</v>
      </c>
      <c r="Y101" s="811">
        <v>1197455</v>
      </c>
      <c r="Z101" s="811">
        <v>0</v>
      </c>
      <c r="AA101" s="811">
        <v>21526000</v>
      </c>
      <c r="AB101" s="811">
        <v>211384</v>
      </c>
    </row>
    <row r="102" spans="1:28" x14ac:dyDescent="0.2">
      <c r="A102" s="556" t="s">
        <v>234</v>
      </c>
      <c r="B102" s="554"/>
      <c r="C102" s="554"/>
      <c r="D102" s="554"/>
      <c r="E102" s="550"/>
      <c r="F102" s="550"/>
      <c r="G102" s="192"/>
      <c r="H102" s="811">
        <v>0</v>
      </c>
      <c r="I102" s="811">
        <v>0</v>
      </c>
      <c r="J102" s="811">
        <v>0</v>
      </c>
      <c r="K102" s="811">
        <v>0</v>
      </c>
      <c r="L102" s="811">
        <v>0</v>
      </c>
      <c r="M102" s="811">
        <v>0</v>
      </c>
      <c r="N102" s="811">
        <v>0</v>
      </c>
      <c r="O102" s="811">
        <v>0</v>
      </c>
      <c r="P102" s="811">
        <v>0</v>
      </c>
      <c r="Q102" s="811">
        <v>0</v>
      </c>
      <c r="R102" s="811">
        <v>0</v>
      </c>
      <c r="S102" s="811">
        <v>0</v>
      </c>
      <c r="T102" s="811">
        <v>0</v>
      </c>
      <c r="U102" s="811">
        <v>0</v>
      </c>
      <c r="V102" s="811">
        <v>0</v>
      </c>
      <c r="W102" s="811">
        <v>0</v>
      </c>
      <c r="X102" s="811">
        <v>0</v>
      </c>
      <c r="Y102" s="811">
        <v>0</v>
      </c>
      <c r="Z102" s="811">
        <v>0</v>
      </c>
      <c r="AA102" s="811">
        <v>0</v>
      </c>
      <c r="AB102" s="811">
        <v>0</v>
      </c>
    </row>
    <row r="103" spans="1:28" x14ac:dyDescent="0.2">
      <c r="A103" s="554"/>
      <c r="B103" s="554"/>
      <c r="C103" s="554"/>
      <c r="D103" s="554"/>
      <c r="E103" s="550"/>
      <c r="F103" s="550"/>
      <c r="G103" s="12"/>
      <c r="H103" s="12"/>
      <c r="I103" s="12"/>
      <c r="J103" s="12"/>
      <c r="K103" s="12"/>
      <c r="L103" s="12"/>
      <c r="M103" s="12"/>
      <c r="N103" s="12"/>
      <c r="O103" s="12"/>
      <c r="P103" s="12"/>
      <c r="Q103" s="12"/>
      <c r="R103" s="12"/>
      <c r="S103" s="12"/>
      <c r="T103" s="12"/>
      <c r="U103" s="12"/>
      <c r="V103" s="12"/>
      <c r="W103" s="12"/>
      <c r="X103" s="12"/>
      <c r="Y103" s="12"/>
      <c r="Z103" s="12"/>
      <c r="AA103" s="12"/>
      <c r="AB103" s="12"/>
    </row>
    <row r="104" spans="1:28" x14ac:dyDescent="0.2">
      <c r="A104" s="554" t="s">
        <v>16</v>
      </c>
      <c r="B104" s="554"/>
      <c r="C104" s="554"/>
      <c r="D104" s="554"/>
      <c r="E104" s="550"/>
      <c r="F104" s="550"/>
      <c r="G104" s="192"/>
      <c r="H104" s="811">
        <v>145899</v>
      </c>
      <c r="I104" s="811">
        <v>203359</v>
      </c>
      <c r="J104" s="811">
        <v>840385</v>
      </c>
      <c r="K104" s="811">
        <v>0</v>
      </c>
      <c r="L104" s="811">
        <v>0</v>
      </c>
      <c r="M104" s="811">
        <v>7913807</v>
      </c>
      <c r="N104" s="811">
        <v>130064</v>
      </c>
      <c r="O104" s="811">
        <v>0</v>
      </c>
      <c r="P104" s="811">
        <v>0</v>
      </c>
      <c r="Q104" s="811">
        <v>0</v>
      </c>
      <c r="R104" s="811">
        <v>0</v>
      </c>
      <c r="S104" s="811">
        <v>0</v>
      </c>
      <c r="T104" s="811">
        <v>0</v>
      </c>
      <c r="U104" s="811">
        <v>0</v>
      </c>
      <c r="V104" s="811">
        <v>0</v>
      </c>
      <c r="W104" s="811">
        <v>381371</v>
      </c>
      <c r="X104" s="811">
        <v>0</v>
      </c>
      <c r="Y104" s="811">
        <v>0</v>
      </c>
      <c r="Z104" s="811">
        <v>0</v>
      </c>
      <c r="AA104" s="811">
        <v>0</v>
      </c>
      <c r="AB104" s="811">
        <v>38567</v>
      </c>
    </row>
    <row r="105" spans="1:28" x14ac:dyDescent="0.2">
      <c r="A105" s="554" t="s">
        <v>760</v>
      </c>
      <c r="B105" s="554"/>
      <c r="C105" s="554"/>
      <c r="D105" s="554"/>
      <c r="E105" s="550"/>
      <c r="F105" s="550"/>
      <c r="G105" s="192"/>
      <c r="H105" s="811">
        <v>1165511</v>
      </c>
      <c r="I105" s="811">
        <v>6784</v>
      </c>
      <c r="J105" s="811">
        <v>5082688</v>
      </c>
      <c r="K105" s="811">
        <v>0</v>
      </c>
      <c r="L105" s="811">
        <v>0</v>
      </c>
      <c r="M105" s="811">
        <v>0</v>
      </c>
      <c r="N105" s="811">
        <v>0</v>
      </c>
      <c r="O105" s="811">
        <v>0</v>
      </c>
      <c r="P105" s="811">
        <v>0</v>
      </c>
      <c r="Q105" s="811">
        <v>26814309</v>
      </c>
      <c r="R105" s="811">
        <v>0</v>
      </c>
      <c r="S105" s="811">
        <v>113070</v>
      </c>
      <c r="T105" s="811">
        <v>0</v>
      </c>
      <c r="U105" s="811">
        <v>0</v>
      </c>
      <c r="V105" s="811">
        <v>2415166</v>
      </c>
      <c r="W105" s="811">
        <v>751358</v>
      </c>
      <c r="X105" s="811">
        <v>0</v>
      </c>
      <c r="Y105" s="811">
        <v>0</v>
      </c>
      <c r="Z105" s="811">
        <v>0</v>
      </c>
      <c r="AA105" s="811">
        <v>70000</v>
      </c>
      <c r="AB105" s="811">
        <v>559910</v>
      </c>
    </row>
    <row r="106" spans="1:28" x14ac:dyDescent="0.2">
      <c r="A106" s="554" t="s">
        <v>335</v>
      </c>
      <c r="B106" s="554"/>
      <c r="C106" s="554"/>
      <c r="D106" s="554"/>
      <c r="E106" s="550"/>
      <c r="F106" s="550"/>
      <c r="G106" s="192"/>
      <c r="H106" s="811">
        <v>85504</v>
      </c>
      <c r="I106" s="811">
        <v>276374</v>
      </c>
      <c r="J106" s="811">
        <v>22720366</v>
      </c>
      <c r="K106" s="811">
        <v>0</v>
      </c>
      <c r="L106" s="811">
        <v>0</v>
      </c>
      <c r="M106" s="811">
        <v>0</v>
      </c>
      <c r="N106" s="811">
        <v>6059</v>
      </c>
      <c r="O106" s="811">
        <v>0</v>
      </c>
      <c r="P106" s="811">
        <v>0</v>
      </c>
      <c r="Q106" s="811">
        <v>38929</v>
      </c>
      <c r="R106" s="811">
        <v>0</v>
      </c>
      <c r="S106" s="811">
        <v>0</v>
      </c>
      <c r="T106" s="811">
        <v>0</v>
      </c>
      <c r="U106" s="811">
        <v>0</v>
      </c>
      <c r="V106" s="811">
        <v>11271756644</v>
      </c>
      <c r="W106" s="811">
        <v>0</v>
      </c>
      <c r="X106" s="811">
        <v>0</v>
      </c>
      <c r="Y106" s="811">
        <v>278838</v>
      </c>
      <c r="Z106" s="811">
        <v>0</v>
      </c>
      <c r="AA106" s="811">
        <v>648613000</v>
      </c>
      <c r="AB106" s="811">
        <v>4673830</v>
      </c>
    </row>
    <row r="107" spans="1:28" x14ac:dyDescent="0.2">
      <c r="A107" s="554" t="s">
        <v>186</v>
      </c>
      <c r="B107" s="554"/>
      <c r="C107" s="554"/>
      <c r="D107" s="554"/>
      <c r="E107" s="550"/>
      <c r="F107" s="550"/>
      <c r="G107" s="192"/>
      <c r="H107" s="811">
        <v>2962075</v>
      </c>
      <c r="I107" s="811">
        <v>3866189</v>
      </c>
      <c r="J107" s="811">
        <v>0</v>
      </c>
      <c r="K107" s="811">
        <v>0</v>
      </c>
      <c r="L107" s="811">
        <v>0</v>
      </c>
      <c r="M107" s="811">
        <v>862760</v>
      </c>
      <c r="N107" s="811">
        <v>0</v>
      </c>
      <c r="O107" s="811">
        <v>0</v>
      </c>
      <c r="P107" s="811">
        <v>0</v>
      </c>
      <c r="Q107" s="811">
        <v>4717784</v>
      </c>
      <c r="R107" s="811">
        <v>0</v>
      </c>
      <c r="S107" s="811">
        <v>300000</v>
      </c>
      <c r="T107" s="811">
        <v>0</v>
      </c>
      <c r="U107" s="811">
        <v>0</v>
      </c>
      <c r="V107" s="811">
        <v>49515656</v>
      </c>
      <c r="W107" s="811">
        <v>10695624</v>
      </c>
      <c r="X107" s="811">
        <v>0</v>
      </c>
      <c r="Y107" s="811">
        <v>0</v>
      </c>
      <c r="Z107" s="811">
        <v>0</v>
      </c>
      <c r="AA107" s="811">
        <v>0</v>
      </c>
      <c r="AB107" s="811">
        <v>0</v>
      </c>
    </row>
    <row r="108" spans="1:28" x14ac:dyDescent="0.2">
      <c r="A108" s="554" t="s">
        <v>814</v>
      </c>
      <c r="B108" s="554"/>
      <c r="C108" s="554"/>
      <c r="D108" s="554"/>
      <c r="E108" s="550"/>
      <c r="F108" s="550"/>
      <c r="G108" s="192"/>
      <c r="H108" s="811">
        <v>0</v>
      </c>
      <c r="I108" s="811">
        <v>0</v>
      </c>
      <c r="J108" s="811">
        <v>2870376</v>
      </c>
      <c r="K108" s="811">
        <v>0</v>
      </c>
      <c r="L108" s="811">
        <v>0</v>
      </c>
      <c r="M108" s="811">
        <v>0</v>
      </c>
      <c r="N108" s="811">
        <v>0</v>
      </c>
      <c r="O108" s="811">
        <v>0</v>
      </c>
      <c r="P108" s="811">
        <v>0</v>
      </c>
      <c r="Q108" s="811">
        <v>0</v>
      </c>
      <c r="R108" s="811">
        <v>0</v>
      </c>
      <c r="S108" s="811">
        <v>0</v>
      </c>
      <c r="T108" s="811">
        <v>0</v>
      </c>
      <c r="U108" s="811">
        <v>0</v>
      </c>
      <c r="V108" s="811">
        <v>0</v>
      </c>
      <c r="W108" s="811">
        <v>0</v>
      </c>
      <c r="X108" s="811">
        <v>0</v>
      </c>
      <c r="Y108" s="811">
        <v>0</v>
      </c>
      <c r="Z108" s="811">
        <v>0</v>
      </c>
      <c r="AA108" s="811">
        <v>0</v>
      </c>
      <c r="AB108" s="811">
        <v>0</v>
      </c>
    </row>
    <row r="109" spans="1:28" x14ac:dyDescent="0.2">
      <c r="A109" s="554"/>
      <c r="B109" s="554"/>
      <c r="C109" s="556" t="s">
        <v>815</v>
      </c>
      <c r="D109" s="554"/>
      <c r="E109" s="550"/>
      <c r="F109" s="550"/>
      <c r="G109" s="15">
        <f t="shared" ref="G109:AB109" si="8">SUM(G104:G108)</f>
        <v>0</v>
      </c>
      <c r="H109" s="15">
        <f t="shared" si="8"/>
        <v>4358989</v>
      </c>
      <c r="I109" s="15">
        <f t="shared" si="8"/>
        <v>4352706</v>
      </c>
      <c r="J109" s="15">
        <f t="shared" si="8"/>
        <v>31513815</v>
      </c>
      <c r="K109" s="15">
        <f t="shared" si="8"/>
        <v>0</v>
      </c>
      <c r="L109" s="15">
        <f t="shared" si="8"/>
        <v>0</v>
      </c>
      <c r="M109" s="15">
        <f t="shared" si="8"/>
        <v>8776567</v>
      </c>
      <c r="N109" s="15">
        <f t="shared" si="8"/>
        <v>136123</v>
      </c>
      <c r="O109" s="15">
        <f t="shared" si="8"/>
        <v>0</v>
      </c>
      <c r="P109" s="15">
        <f t="shared" si="8"/>
        <v>0</v>
      </c>
      <c r="Q109" s="15">
        <f t="shared" si="8"/>
        <v>31571022</v>
      </c>
      <c r="R109" s="15">
        <f t="shared" si="8"/>
        <v>0</v>
      </c>
      <c r="S109" s="15">
        <f t="shared" si="8"/>
        <v>413070</v>
      </c>
      <c r="T109" s="15">
        <f t="shared" si="8"/>
        <v>0</v>
      </c>
      <c r="U109" s="15">
        <f t="shared" si="8"/>
        <v>0</v>
      </c>
      <c r="V109" s="15">
        <f t="shared" si="8"/>
        <v>11323687466</v>
      </c>
      <c r="W109" s="15">
        <f t="shared" si="8"/>
        <v>11828353</v>
      </c>
      <c r="X109" s="15">
        <f t="shared" si="8"/>
        <v>0</v>
      </c>
      <c r="Y109" s="15">
        <f t="shared" si="8"/>
        <v>278838</v>
      </c>
      <c r="Z109" s="15">
        <f t="shared" si="8"/>
        <v>0</v>
      </c>
      <c r="AA109" s="15">
        <f t="shared" si="8"/>
        <v>648683000</v>
      </c>
      <c r="AB109" s="15">
        <f t="shared" si="8"/>
        <v>5272307</v>
      </c>
    </row>
    <row r="110" spans="1:28" x14ac:dyDescent="0.2">
      <c r="A110" s="554"/>
      <c r="B110" s="554"/>
      <c r="C110" s="554"/>
      <c r="D110" s="554"/>
      <c r="E110" s="550"/>
      <c r="F110" s="550"/>
      <c r="G110" s="12"/>
      <c r="H110" s="12"/>
      <c r="I110" s="12"/>
      <c r="J110" s="12"/>
      <c r="K110" s="12"/>
      <c r="L110" s="12"/>
      <c r="M110" s="12"/>
      <c r="N110" s="12"/>
      <c r="O110" s="12"/>
      <c r="P110" s="12"/>
      <c r="Q110" s="12"/>
      <c r="R110" s="12"/>
      <c r="S110" s="12"/>
      <c r="T110" s="12"/>
      <c r="U110" s="12"/>
      <c r="V110" s="12"/>
      <c r="W110" s="12"/>
      <c r="X110" s="12"/>
      <c r="Y110" s="12"/>
      <c r="Z110" s="12"/>
      <c r="AA110" s="12"/>
      <c r="AB110" s="12"/>
    </row>
    <row r="111" spans="1:28" x14ac:dyDescent="0.2">
      <c r="A111" s="556" t="s">
        <v>99</v>
      </c>
      <c r="B111" s="554"/>
      <c r="C111" s="554"/>
      <c r="D111" s="554"/>
      <c r="E111" s="557"/>
      <c r="F111" s="550"/>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row>
    <row r="112" spans="1:28" x14ac:dyDescent="0.2">
      <c r="A112" s="556" t="s">
        <v>758</v>
      </c>
      <c r="B112" s="554"/>
      <c r="C112" s="554"/>
      <c r="D112" s="554"/>
      <c r="E112" s="550"/>
      <c r="F112" s="550"/>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row>
    <row r="113" spans="1:29" x14ac:dyDescent="0.2">
      <c r="A113" s="554"/>
      <c r="B113" s="554"/>
      <c r="C113" s="554"/>
      <c r="D113" s="554"/>
      <c r="E113" s="550"/>
      <c r="F113" s="550"/>
      <c r="G113" s="12"/>
      <c r="H113" s="12"/>
      <c r="I113" s="12"/>
      <c r="J113" s="12"/>
      <c r="K113" s="12"/>
      <c r="L113" s="12"/>
      <c r="M113" s="12"/>
      <c r="N113" s="12"/>
      <c r="O113" s="12"/>
      <c r="P113" s="12"/>
      <c r="Q113" s="12"/>
      <c r="R113" s="12"/>
      <c r="S113" s="12"/>
      <c r="T113" s="12"/>
      <c r="U113" s="12"/>
      <c r="V113" s="12"/>
      <c r="W113" s="12"/>
      <c r="X113" s="12"/>
      <c r="Y113" s="12"/>
      <c r="Z113" s="12"/>
      <c r="AA113" s="12"/>
      <c r="AB113" s="12"/>
    </row>
    <row r="114" spans="1:29" x14ac:dyDescent="0.2">
      <c r="A114" s="18" t="s">
        <v>345</v>
      </c>
      <c r="B114" s="554"/>
      <c r="C114" s="554"/>
      <c r="D114" s="554"/>
      <c r="E114" s="550"/>
      <c r="F114" s="550"/>
      <c r="G114" s="192"/>
      <c r="H114" s="811">
        <v>0</v>
      </c>
      <c r="I114" s="811">
        <v>0</v>
      </c>
      <c r="J114" s="811">
        <v>0</v>
      </c>
      <c r="K114" s="811">
        <v>0</v>
      </c>
      <c r="L114" s="811">
        <v>0</v>
      </c>
      <c r="M114" s="811">
        <v>0</v>
      </c>
      <c r="N114" s="811">
        <v>0</v>
      </c>
      <c r="O114" s="811">
        <v>0</v>
      </c>
      <c r="P114" s="811">
        <v>0</v>
      </c>
      <c r="Q114" s="811">
        <v>0</v>
      </c>
      <c r="R114" s="811">
        <v>0</v>
      </c>
      <c r="S114" s="811">
        <v>0</v>
      </c>
      <c r="T114" s="811">
        <v>0</v>
      </c>
      <c r="U114" s="811">
        <v>0</v>
      </c>
      <c r="V114" s="811">
        <v>0</v>
      </c>
      <c r="W114" s="811">
        <v>0</v>
      </c>
      <c r="X114" s="811">
        <v>0</v>
      </c>
      <c r="Y114" s="811">
        <v>0</v>
      </c>
      <c r="Z114" s="811">
        <v>0</v>
      </c>
      <c r="AA114" s="811">
        <v>0</v>
      </c>
      <c r="AB114" s="811">
        <v>0</v>
      </c>
    </row>
    <row r="115" spans="1:29" x14ac:dyDescent="0.2">
      <c r="A115" s="18" t="s">
        <v>346</v>
      </c>
      <c r="B115" s="554"/>
      <c r="C115" s="554"/>
      <c r="D115" s="554"/>
      <c r="E115" s="550"/>
      <c r="F115" s="550"/>
      <c r="G115" s="192"/>
      <c r="H115" s="811">
        <v>0</v>
      </c>
      <c r="I115" s="811">
        <v>0</v>
      </c>
      <c r="J115" s="811">
        <v>0</v>
      </c>
      <c r="K115" s="811">
        <v>0</v>
      </c>
      <c r="L115" s="811">
        <v>0</v>
      </c>
      <c r="M115" s="811">
        <v>0</v>
      </c>
      <c r="N115" s="811">
        <v>0</v>
      </c>
      <c r="O115" s="811">
        <v>0</v>
      </c>
      <c r="P115" s="811">
        <v>0</v>
      </c>
      <c r="Q115" s="811">
        <v>0</v>
      </c>
      <c r="R115" s="811">
        <v>0</v>
      </c>
      <c r="S115" s="811">
        <v>0</v>
      </c>
      <c r="T115" s="811">
        <v>0</v>
      </c>
      <c r="U115" s="811">
        <v>0</v>
      </c>
      <c r="V115" s="811">
        <v>0</v>
      </c>
      <c r="W115" s="811">
        <v>0</v>
      </c>
      <c r="X115" s="811">
        <v>0</v>
      </c>
      <c r="Y115" s="811">
        <v>0</v>
      </c>
      <c r="Z115" s="811">
        <v>0</v>
      </c>
      <c r="AA115" s="811">
        <v>0</v>
      </c>
      <c r="AB115" s="811">
        <v>0</v>
      </c>
    </row>
    <row r="116" spans="1:29" x14ac:dyDescent="0.2">
      <c r="A116" s="554"/>
      <c r="B116" s="554"/>
      <c r="C116" s="554"/>
      <c r="D116" s="554"/>
      <c r="E116" s="550"/>
      <c r="F116" s="550"/>
      <c r="G116" s="12"/>
      <c r="H116" s="12"/>
      <c r="I116" s="12"/>
      <c r="J116" s="12"/>
      <c r="K116" s="12"/>
      <c r="L116" s="12"/>
      <c r="M116" s="12"/>
      <c r="N116" s="12"/>
      <c r="O116" s="12"/>
      <c r="P116" s="12"/>
      <c r="Q116" s="12"/>
      <c r="R116" s="12"/>
      <c r="S116" s="12"/>
      <c r="T116" s="12"/>
      <c r="U116" s="12"/>
      <c r="V116" s="12"/>
      <c r="W116" s="12"/>
      <c r="X116" s="12"/>
      <c r="Y116" s="12"/>
      <c r="Z116" s="12"/>
      <c r="AA116" s="12"/>
      <c r="AB116" s="12"/>
    </row>
    <row r="117" spans="1:29" x14ac:dyDescent="0.2">
      <c r="A117" s="554" t="s">
        <v>633</v>
      </c>
      <c r="B117" s="554"/>
      <c r="C117" s="554"/>
      <c r="D117" s="554"/>
      <c r="E117" s="550"/>
      <c r="F117" s="550"/>
      <c r="G117" s="12"/>
      <c r="H117" s="12"/>
      <c r="I117" s="12"/>
      <c r="J117" s="12"/>
      <c r="K117" s="12"/>
      <c r="L117" s="12"/>
      <c r="M117" s="12"/>
      <c r="N117" s="12"/>
      <c r="O117" s="12"/>
      <c r="P117" s="12"/>
      <c r="Q117" s="12"/>
      <c r="R117" s="12"/>
      <c r="S117" s="12"/>
      <c r="T117" s="12"/>
      <c r="U117" s="12"/>
      <c r="V117" s="12"/>
      <c r="W117" s="12"/>
      <c r="X117" s="12"/>
      <c r="Y117" s="12"/>
      <c r="Z117" s="12"/>
      <c r="AA117" s="12"/>
      <c r="AB117" s="12"/>
    </row>
    <row r="118" spans="1:29" x14ac:dyDescent="0.2">
      <c r="A118" s="554" t="s">
        <v>759</v>
      </c>
      <c r="B118" s="554"/>
      <c r="C118" s="554"/>
      <c r="D118" s="554"/>
      <c r="E118" s="550"/>
      <c r="F118" s="550"/>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9" x14ac:dyDescent="0.2">
      <c r="A119" s="554"/>
      <c r="B119" s="554" t="s">
        <v>817</v>
      </c>
      <c r="C119" s="554"/>
      <c r="D119" s="554"/>
      <c r="E119" s="550"/>
      <c r="F119" s="555"/>
      <c r="G119" s="192"/>
      <c r="H119" s="811">
        <v>0</v>
      </c>
      <c r="I119" s="811">
        <v>610736</v>
      </c>
      <c r="J119" s="811">
        <v>0</v>
      </c>
      <c r="K119" s="811">
        <v>0</v>
      </c>
      <c r="L119" s="811">
        <v>0</v>
      </c>
      <c r="M119" s="811">
        <v>0</v>
      </c>
      <c r="N119" s="811">
        <v>0</v>
      </c>
      <c r="O119" s="811">
        <v>0</v>
      </c>
      <c r="P119" s="811">
        <v>0</v>
      </c>
      <c r="Q119" s="811">
        <v>0</v>
      </c>
      <c r="R119" s="811">
        <v>0</v>
      </c>
      <c r="S119" s="811">
        <v>0</v>
      </c>
      <c r="T119" s="811">
        <v>0</v>
      </c>
      <c r="U119" s="811">
        <v>0</v>
      </c>
      <c r="V119" s="811">
        <v>18853260</v>
      </c>
      <c r="W119" s="811">
        <v>0</v>
      </c>
      <c r="X119" s="811">
        <v>0</v>
      </c>
      <c r="Y119" s="811">
        <v>0</v>
      </c>
      <c r="Z119" s="811">
        <v>0</v>
      </c>
      <c r="AA119" s="811">
        <v>682000</v>
      </c>
      <c r="AB119" s="811">
        <v>0</v>
      </c>
    </row>
    <row r="120" spans="1:29" hidden="1" x14ac:dyDescent="0.2">
      <c r="A120" s="554"/>
      <c r="B120" s="554"/>
      <c r="C120" s="554"/>
      <c r="D120" s="554"/>
      <c r="E120" s="550"/>
      <c r="F120" s="555"/>
      <c r="G120" s="192"/>
      <c r="H120" s="811"/>
      <c r="I120" s="811"/>
      <c r="J120" s="811"/>
      <c r="K120" s="811"/>
      <c r="L120" s="811"/>
      <c r="M120" s="811"/>
      <c r="N120" s="811"/>
      <c r="O120" s="811"/>
      <c r="P120" s="811"/>
      <c r="Q120" s="811"/>
      <c r="R120" s="811"/>
      <c r="S120" s="811"/>
      <c r="T120" s="811"/>
      <c r="U120" s="811"/>
      <c r="V120" s="811"/>
      <c r="W120" s="811"/>
      <c r="X120" s="811"/>
      <c r="Y120" s="811"/>
      <c r="Z120" s="811"/>
      <c r="AA120" s="811"/>
      <c r="AB120" s="811"/>
    </row>
    <row r="121" spans="1:29" x14ac:dyDescent="0.2">
      <c r="A121" s="554"/>
      <c r="B121" s="554" t="s">
        <v>751</v>
      </c>
      <c r="C121" s="554"/>
      <c r="D121" s="554"/>
      <c r="E121" s="550"/>
      <c r="F121" s="555"/>
      <c r="G121" s="192"/>
      <c r="H121" s="1119">
        <f>1152876+1355000</f>
        <v>2507876</v>
      </c>
      <c r="I121" s="811">
        <v>3114113</v>
      </c>
      <c r="J121" s="811">
        <v>3909726</v>
      </c>
      <c r="K121" s="811">
        <v>0</v>
      </c>
      <c r="L121" s="811">
        <v>1103942</v>
      </c>
      <c r="M121" s="811">
        <v>595891</v>
      </c>
      <c r="N121" s="811">
        <v>20629838</v>
      </c>
      <c r="O121" s="811">
        <v>0</v>
      </c>
      <c r="P121" s="811">
        <v>0</v>
      </c>
      <c r="Q121" s="811">
        <v>470561</v>
      </c>
      <c r="R121" s="811">
        <v>0</v>
      </c>
      <c r="S121" s="811">
        <v>668540</v>
      </c>
      <c r="T121" s="811">
        <v>0</v>
      </c>
      <c r="U121" s="811">
        <v>0</v>
      </c>
      <c r="V121" s="811">
        <v>7411875</v>
      </c>
      <c r="W121" s="811">
        <v>1431263</v>
      </c>
      <c r="X121" s="811">
        <v>0</v>
      </c>
      <c r="Y121" s="811">
        <v>639639</v>
      </c>
      <c r="Z121" s="811">
        <v>0</v>
      </c>
      <c r="AA121" s="811">
        <v>0</v>
      </c>
      <c r="AB121" s="811">
        <v>0</v>
      </c>
    </row>
    <row r="122" spans="1:29" x14ac:dyDescent="0.2">
      <c r="A122" s="554"/>
      <c r="B122" s="554" t="s">
        <v>116</v>
      </c>
      <c r="C122" s="554"/>
      <c r="D122" s="554"/>
      <c r="E122" s="550"/>
      <c r="F122" s="555"/>
      <c r="G122" s="192"/>
      <c r="H122" s="811">
        <v>3304078</v>
      </c>
      <c r="I122" s="1119">
        <f>1454276-396919</f>
        <v>1057357</v>
      </c>
      <c r="J122" s="811">
        <v>5618500</v>
      </c>
      <c r="K122" s="811">
        <v>0</v>
      </c>
      <c r="L122" s="811">
        <v>0</v>
      </c>
      <c r="M122" s="811">
        <v>725000</v>
      </c>
      <c r="N122" s="811">
        <v>80000</v>
      </c>
      <c r="O122" s="811">
        <v>0</v>
      </c>
      <c r="P122" s="811">
        <v>1250000</v>
      </c>
      <c r="Q122" s="811">
        <v>4036496</v>
      </c>
      <c r="R122" s="811">
        <v>0</v>
      </c>
      <c r="S122" s="811">
        <v>0</v>
      </c>
      <c r="T122" s="811">
        <v>0</v>
      </c>
      <c r="U122" s="811">
        <v>0</v>
      </c>
      <c r="V122" s="811">
        <v>597310</v>
      </c>
      <c r="W122" s="811">
        <v>0</v>
      </c>
      <c r="X122" s="811">
        <v>0</v>
      </c>
      <c r="Y122" s="811">
        <v>0</v>
      </c>
      <c r="Z122" s="811">
        <v>0</v>
      </c>
      <c r="AA122" s="811">
        <v>20089000</v>
      </c>
      <c r="AB122" s="811">
        <v>1160000</v>
      </c>
    </row>
    <row r="123" spans="1:29" x14ac:dyDescent="0.2">
      <c r="A123" s="554"/>
      <c r="B123" s="554" t="s">
        <v>816</v>
      </c>
      <c r="C123" s="554"/>
      <c r="D123" s="554"/>
      <c r="E123" s="550"/>
      <c r="F123" s="555"/>
      <c r="G123" s="192"/>
      <c r="H123" s="812">
        <v>0</v>
      </c>
      <c r="I123" s="812">
        <v>0</v>
      </c>
      <c r="J123" s="812">
        <v>0</v>
      </c>
      <c r="K123" s="812">
        <v>0</v>
      </c>
      <c r="L123" s="812">
        <v>0</v>
      </c>
      <c r="M123" s="812">
        <v>0</v>
      </c>
      <c r="N123" s="812">
        <v>0</v>
      </c>
      <c r="O123" s="812">
        <v>0</v>
      </c>
      <c r="P123" s="812">
        <v>0</v>
      </c>
      <c r="Q123" s="812">
        <v>0</v>
      </c>
      <c r="R123" s="812">
        <v>0</v>
      </c>
      <c r="S123" s="812">
        <v>0</v>
      </c>
      <c r="T123" s="812">
        <v>0</v>
      </c>
      <c r="U123" s="812">
        <v>0</v>
      </c>
      <c r="V123" s="812">
        <v>0</v>
      </c>
      <c r="W123" s="812">
        <v>0</v>
      </c>
      <c r="X123" s="812">
        <v>0</v>
      </c>
      <c r="Y123" s="812">
        <v>0</v>
      </c>
      <c r="Z123" s="812">
        <v>0</v>
      </c>
      <c r="AA123" s="812">
        <v>0</v>
      </c>
      <c r="AB123" s="812">
        <v>0</v>
      </c>
    </row>
    <row r="124" spans="1:29" x14ac:dyDescent="0.2">
      <c r="A124" s="554"/>
      <c r="B124" s="554" t="s">
        <v>577</v>
      </c>
      <c r="C124" s="554"/>
      <c r="D124" s="554"/>
      <c r="E124" s="550"/>
      <c r="F124" s="555"/>
      <c r="G124" s="192"/>
      <c r="H124" s="811">
        <v>0</v>
      </c>
      <c r="I124" s="811">
        <v>0</v>
      </c>
      <c r="J124" s="811">
        <v>0</v>
      </c>
      <c r="K124" s="811">
        <v>0</v>
      </c>
      <c r="L124" s="811">
        <v>0</v>
      </c>
      <c r="M124" s="811">
        <v>0</v>
      </c>
      <c r="N124" s="811">
        <v>0</v>
      </c>
      <c r="O124" s="811">
        <v>0</v>
      </c>
      <c r="P124" s="811">
        <v>0</v>
      </c>
      <c r="Q124" s="811">
        <v>0</v>
      </c>
      <c r="R124" s="811">
        <v>0</v>
      </c>
      <c r="S124" s="811">
        <v>0</v>
      </c>
      <c r="T124" s="811">
        <v>0</v>
      </c>
      <c r="U124" s="811">
        <v>0</v>
      </c>
      <c r="V124" s="811">
        <v>0</v>
      </c>
      <c r="W124" s="811">
        <v>0</v>
      </c>
      <c r="X124" s="811">
        <v>0</v>
      </c>
      <c r="Y124" s="811">
        <v>0</v>
      </c>
      <c r="Z124" s="811">
        <v>0</v>
      </c>
      <c r="AA124" s="811">
        <v>0</v>
      </c>
      <c r="AB124" s="811">
        <v>0</v>
      </c>
    </row>
    <row r="125" spans="1:29" x14ac:dyDescent="0.2">
      <c r="A125" s="554"/>
      <c r="B125" s="554" t="s">
        <v>82</v>
      </c>
      <c r="C125" s="554"/>
      <c r="D125" s="554"/>
      <c r="E125" s="550"/>
      <c r="F125" s="555"/>
      <c r="G125" s="192"/>
      <c r="H125" s="811">
        <v>27847</v>
      </c>
      <c r="I125" s="811">
        <v>306965</v>
      </c>
      <c r="J125" s="811">
        <v>275762</v>
      </c>
      <c r="K125" s="811">
        <v>0</v>
      </c>
      <c r="L125" s="811">
        <v>43361</v>
      </c>
      <c r="M125" s="811">
        <v>0</v>
      </c>
      <c r="N125" s="811">
        <v>66600</v>
      </c>
      <c r="O125" s="811">
        <v>0</v>
      </c>
      <c r="P125" s="811">
        <v>0</v>
      </c>
      <c r="Q125" s="811">
        <v>141525</v>
      </c>
      <c r="R125" s="811">
        <v>0</v>
      </c>
      <c r="S125" s="811">
        <v>37989</v>
      </c>
      <c r="T125" s="811">
        <v>0</v>
      </c>
      <c r="U125" s="811">
        <v>0</v>
      </c>
      <c r="V125" s="811">
        <v>0</v>
      </c>
      <c r="W125" s="811">
        <v>248552</v>
      </c>
      <c r="X125" s="811">
        <v>0</v>
      </c>
      <c r="Y125" s="811">
        <v>26160</v>
      </c>
      <c r="Z125" s="811">
        <v>605114</v>
      </c>
      <c r="AA125" s="811">
        <v>0</v>
      </c>
      <c r="AB125" s="811">
        <v>0</v>
      </c>
    </row>
    <row r="126" spans="1:29" x14ac:dyDescent="0.2">
      <c r="A126" s="554"/>
      <c r="B126" s="554" t="s">
        <v>760</v>
      </c>
      <c r="C126" s="554"/>
      <c r="D126" s="554"/>
      <c r="E126" s="550"/>
      <c r="F126" s="555"/>
      <c r="G126" s="192"/>
      <c r="H126" s="811">
        <v>0</v>
      </c>
      <c r="I126" s="811">
        <v>0</v>
      </c>
      <c r="J126" s="811">
        <v>0</v>
      </c>
      <c r="K126" s="811">
        <v>0</v>
      </c>
      <c r="L126" s="811">
        <v>0</v>
      </c>
      <c r="M126" s="811">
        <v>0</v>
      </c>
      <c r="N126" s="811">
        <v>0</v>
      </c>
      <c r="O126" s="811">
        <v>0</v>
      </c>
      <c r="P126" s="811">
        <v>44859</v>
      </c>
      <c r="Q126" s="811">
        <v>1427178</v>
      </c>
      <c r="R126" s="811">
        <v>0</v>
      </c>
      <c r="S126" s="811">
        <v>0</v>
      </c>
      <c r="T126" s="811">
        <v>0</v>
      </c>
      <c r="U126" s="811">
        <v>0</v>
      </c>
      <c r="V126" s="811">
        <v>179560993</v>
      </c>
      <c r="W126" s="811">
        <v>0</v>
      </c>
      <c r="X126" s="811">
        <v>0</v>
      </c>
      <c r="Y126" s="811">
        <v>409301</v>
      </c>
      <c r="Z126" s="811">
        <v>0</v>
      </c>
      <c r="AA126" s="811">
        <v>0</v>
      </c>
      <c r="AB126" s="811">
        <v>0</v>
      </c>
    </row>
    <row r="127" spans="1:29" x14ac:dyDescent="0.2">
      <c r="A127" s="554"/>
      <c r="B127" s="554"/>
      <c r="C127" s="556" t="s">
        <v>292</v>
      </c>
      <c r="D127" s="554"/>
      <c r="E127" s="550"/>
      <c r="F127" s="550"/>
      <c r="G127" s="15">
        <f t="shared" ref="G127:AB127" si="9">SUM(G119:G126)</f>
        <v>0</v>
      </c>
      <c r="H127" s="15">
        <f t="shared" si="9"/>
        <v>5839801</v>
      </c>
      <c r="I127" s="15">
        <f t="shared" si="9"/>
        <v>5089171</v>
      </c>
      <c r="J127" s="15">
        <f t="shared" si="9"/>
        <v>9803988</v>
      </c>
      <c r="K127" s="15">
        <f t="shared" si="9"/>
        <v>0</v>
      </c>
      <c r="L127" s="15">
        <f t="shared" si="9"/>
        <v>1147303</v>
      </c>
      <c r="M127" s="15">
        <f t="shared" si="9"/>
        <v>1320891</v>
      </c>
      <c r="N127" s="15">
        <f t="shared" si="9"/>
        <v>20776438</v>
      </c>
      <c r="O127" s="15">
        <f t="shared" si="9"/>
        <v>0</v>
      </c>
      <c r="P127" s="15">
        <f t="shared" si="9"/>
        <v>1294859</v>
      </c>
      <c r="Q127" s="15">
        <f t="shared" si="9"/>
        <v>6075760</v>
      </c>
      <c r="R127" s="15">
        <f t="shared" si="9"/>
        <v>0</v>
      </c>
      <c r="S127" s="15">
        <f t="shared" si="9"/>
        <v>706529</v>
      </c>
      <c r="T127" s="15">
        <f t="shared" si="9"/>
        <v>0</v>
      </c>
      <c r="U127" s="15">
        <f t="shared" si="9"/>
        <v>0</v>
      </c>
      <c r="V127" s="15">
        <f t="shared" si="9"/>
        <v>206423438</v>
      </c>
      <c r="W127" s="15">
        <f t="shared" si="9"/>
        <v>1679815</v>
      </c>
      <c r="X127" s="15">
        <f t="shared" si="9"/>
        <v>0</v>
      </c>
      <c r="Y127" s="15">
        <f t="shared" si="9"/>
        <v>1075100</v>
      </c>
      <c r="Z127" s="15">
        <f t="shared" si="9"/>
        <v>605114</v>
      </c>
      <c r="AA127" s="15">
        <f t="shared" si="9"/>
        <v>20771000</v>
      </c>
      <c r="AB127" s="15">
        <f t="shared" si="9"/>
        <v>1160000</v>
      </c>
      <c r="AC127" s="17"/>
    </row>
    <row r="128" spans="1:29" x14ac:dyDescent="0.2">
      <c r="A128" s="554"/>
      <c r="B128" s="554"/>
      <c r="C128" s="554"/>
      <c r="D128" s="554"/>
      <c r="E128" s="550"/>
      <c r="F128" s="550"/>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spans="1:28" x14ac:dyDescent="0.2">
      <c r="A129" s="554" t="s">
        <v>761</v>
      </c>
      <c r="B129" s="554"/>
      <c r="C129" s="554"/>
      <c r="D129" s="554"/>
      <c r="E129" s="550"/>
      <c r="F129" s="550"/>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1:28" x14ac:dyDescent="0.2">
      <c r="A130" s="554"/>
      <c r="B130" s="554" t="s">
        <v>578</v>
      </c>
      <c r="C130" s="554"/>
      <c r="D130" s="554"/>
      <c r="E130" s="550"/>
      <c r="F130" s="555"/>
      <c r="G130" s="192"/>
      <c r="H130" s="811">
        <v>0</v>
      </c>
      <c r="I130" s="811">
        <v>54530</v>
      </c>
      <c r="J130" s="811">
        <v>0</v>
      </c>
      <c r="K130" s="811">
        <v>0</v>
      </c>
      <c r="L130" s="811">
        <v>0</v>
      </c>
      <c r="M130" s="811">
        <v>0</v>
      </c>
      <c r="N130" s="811">
        <v>0</v>
      </c>
      <c r="O130" s="811">
        <v>0</v>
      </c>
      <c r="P130" s="811">
        <v>0</v>
      </c>
      <c r="Q130" s="811">
        <v>0</v>
      </c>
      <c r="R130" s="811">
        <v>0</v>
      </c>
      <c r="S130" s="811">
        <v>0</v>
      </c>
      <c r="T130" s="811">
        <v>0</v>
      </c>
      <c r="U130" s="811">
        <v>0</v>
      </c>
      <c r="V130" s="811">
        <v>10605564</v>
      </c>
      <c r="W130" s="811">
        <v>0</v>
      </c>
      <c r="X130" s="811">
        <v>0</v>
      </c>
      <c r="Y130" s="811">
        <v>0</v>
      </c>
      <c r="Z130" s="811">
        <v>0</v>
      </c>
      <c r="AA130" s="811">
        <v>69000</v>
      </c>
      <c r="AB130" s="811">
        <v>0</v>
      </c>
    </row>
    <row r="131" spans="1:28" hidden="1" x14ac:dyDescent="0.2">
      <c r="A131" s="554"/>
      <c r="B131" s="554"/>
      <c r="C131" s="554"/>
      <c r="D131" s="554"/>
      <c r="E131" s="550"/>
      <c r="F131" s="555"/>
      <c r="G131" s="192"/>
      <c r="H131" s="811"/>
      <c r="I131" s="811"/>
      <c r="J131" s="811"/>
      <c r="K131" s="811"/>
      <c r="L131" s="811"/>
      <c r="M131" s="811"/>
      <c r="N131" s="811"/>
      <c r="O131" s="811"/>
      <c r="P131" s="811"/>
      <c r="Q131" s="811"/>
      <c r="R131" s="811"/>
      <c r="S131" s="811"/>
      <c r="T131" s="811"/>
      <c r="U131" s="811"/>
      <c r="V131" s="811"/>
      <c r="W131" s="811"/>
      <c r="X131" s="811"/>
      <c r="Y131" s="811"/>
      <c r="Z131" s="811"/>
      <c r="AA131" s="811"/>
      <c r="AB131" s="811"/>
    </row>
    <row r="132" spans="1:28" x14ac:dyDescent="0.2">
      <c r="A132" s="554"/>
      <c r="B132" s="554" t="s">
        <v>751</v>
      </c>
      <c r="C132" s="554"/>
      <c r="D132" s="554"/>
      <c r="E132" s="550"/>
      <c r="F132" s="555"/>
      <c r="G132" s="192"/>
      <c r="H132" s="1119">
        <f>20224149-1355000</f>
        <v>18869149</v>
      </c>
      <c r="I132" s="811">
        <v>11237162</v>
      </c>
      <c r="J132" s="811">
        <v>39440663</v>
      </c>
      <c r="K132" s="811">
        <v>0</v>
      </c>
      <c r="L132" s="811">
        <v>17170691</v>
      </c>
      <c r="M132" s="811">
        <v>13049634</v>
      </c>
      <c r="N132" s="811">
        <v>347741</v>
      </c>
      <c r="O132" s="811">
        <v>0</v>
      </c>
      <c r="P132" s="811">
        <v>0</v>
      </c>
      <c r="Q132" s="811">
        <v>4722371</v>
      </c>
      <c r="R132" s="811">
        <v>0</v>
      </c>
      <c r="S132" s="811">
        <v>13595610</v>
      </c>
      <c r="T132" s="811">
        <v>0</v>
      </c>
      <c r="U132" s="811">
        <v>0</v>
      </c>
      <c r="V132" s="811">
        <v>171833721</v>
      </c>
      <c r="W132" s="811">
        <v>5153638</v>
      </c>
      <c r="X132" s="811">
        <v>0</v>
      </c>
      <c r="Y132" s="811">
        <v>31212995</v>
      </c>
      <c r="Z132" s="811">
        <v>0</v>
      </c>
      <c r="AA132" s="811">
        <v>3513000</v>
      </c>
      <c r="AB132" s="811">
        <v>0</v>
      </c>
    </row>
    <row r="133" spans="1:28" x14ac:dyDescent="0.2">
      <c r="A133" s="554"/>
      <c r="B133" s="554" t="s">
        <v>116</v>
      </c>
      <c r="C133" s="554"/>
      <c r="D133" s="554"/>
      <c r="E133" s="550"/>
      <c r="F133" s="555"/>
      <c r="G133" s="192"/>
      <c r="H133" s="811">
        <v>77963316</v>
      </c>
      <c r="I133" s="1119">
        <f>26092983-23237</f>
        <v>26069746</v>
      </c>
      <c r="J133" s="811">
        <v>105460776</v>
      </c>
      <c r="K133" s="811">
        <v>0</v>
      </c>
      <c r="L133" s="811">
        <v>0</v>
      </c>
      <c r="M133" s="811">
        <v>313770748</v>
      </c>
      <c r="N133" s="811">
        <v>1495485</v>
      </c>
      <c r="O133" s="811">
        <v>0</v>
      </c>
      <c r="P133" s="811">
        <v>22999414</v>
      </c>
      <c r="Q133" s="811">
        <v>37317993</v>
      </c>
      <c r="R133" s="811">
        <v>0</v>
      </c>
      <c r="S133" s="811">
        <v>0</v>
      </c>
      <c r="T133" s="811">
        <v>0</v>
      </c>
      <c r="U133" s="811">
        <v>0</v>
      </c>
      <c r="V133" s="811">
        <v>27073636</v>
      </c>
      <c r="W133" s="811">
        <v>0</v>
      </c>
      <c r="X133" s="811">
        <v>0</v>
      </c>
      <c r="Y133" s="811">
        <v>0</v>
      </c>
      <c r="Z133" s="811">
        <v>36341607</v>
      </c>
      <c r="AA133" s="811">
        <v>262651000</v>
      </c>
      <c r="AB133" s="811">
        <v>8753247</v>
      </c>
    </row>
    <row r="134" spans="1:28" x14ac:dyDescent="0.2">
      <c r="A134" s="554"/>
      <c r="B134" s="554" t="s">
        <v>816</v>
      </c>
      <c r="C134" s="554"/>
      <c r="D134" s="554"/>
      <c r="E134" s="550"/>
      <c r="F134" s="555"/>
      <c r="G134" s="192"/>
      <c r="H134" s="811">
        <v>0</v>
      </c>
      <c r="I134" s="811">
        <v>0</v>
      </c>
      <c r="J134" s="811">
        <v>0</v>
      </c>
      <c r="K134" s="811">
        <v>0</v>
      </c>
      <c r="L134" s="811">
        <v>0</v>
      </c>
      <c r="M134" s="811">
        <v>0</v>
      </c>
      <c r="N134" s="811">
        <v>0</v>
      </c>
      <c r="O134" s="811">
        <v>0</v>
      </c>
      <c r="P134" s="811">
        <v>0</v>
      </c>
      <c r="Q134" s="811">
        <v>0</v>
      </c>
      <c r="R134" s="811">
        <v>0</v>
      </c>
      <c r="S134" s="811">
        <v>0</v>
      </c>
      <c r="T134" s="811">
        <v>0</v>
      </c>
      <c r="U134" s="811">
        <v>0</v>
      </c>
      <c r="V134" s="811">
        <v>0</v>
      </c>
      <c r="W134" s="811">
        <v>0</v>
      </c>
      <c r="X134" s="811">
        <v>0</v>
      </c>
      <c r="Y134" s="811">
        <v>0</v>
      </c>
      <c r="Z134" s="811">
        <v>0</v>
      </c>
      <c r="AA134" s="811">
        <v>0</v>
      </c>
      <c r="AB134" s="811">
        <v>0</v>
      </c>
    </row>
    <row r="135" spans="1:28" x14ac:dyDescent="0.2">
      <c r="A135" s="554"/>
      <c r="B135" s="554" t="s">
        <v>716</v>
      </c>
      <c r="C135" s="554"/>
      <c r="D135" s="554"/>
      <c r="E135" s="550"/>
      <c r="F135" s="555"/>
      <c r="G135" s="192"/>
      <c r="H135" s="811">
        <v>0</v>
      </c>
      <c r="I135" s="811">
        <v>0</v>
      </c>
      <c r="J135" s="811">
        <v>0</v>
      </c>
      <c r="K135" s="811">
        <v>0</v>
      </c>
      <c r="L135" s="811">
        <v>0</v>
      </c>
      <c r="M135" s="811">
        <v>0</v>
      </c>
      <c r="N135" s="811">
        <v>0</v>
      </c>
      <c r="O135" s="811">
        <v>0</v>
      </c>
      <c r="P135" s="811">
        <v>0</v>
      </c>
      <c r="Q135" s="811">
        <v>0</v>
      </c>
      <c r="R135" s="811">
        <v>0</v>
      </c>
      <c r="S135" s="811">
        <v>0</v>
      </c>
      <c r="T135" s="811">
        <v>0</v>
      </c>
      <c r="U135" s="811">
        <v>0</v>
      </c>
      <c r="V135" s="811">
        <v>0</v>
      </c>
      <c r="W135" s="811">
        <v>0</v>
      </c>
      <c r="X135" s="811">
        <v>0</v>
      </c>
      <c r="Y135" s="811">
        <v>0</v>
      </c>
      <c r="Z135" s="811">
        <v>0</v>
      </c>
      <c r="AA135" s="811">
        <v>0</v>
      </c>
      <c r="AB135" s="811">
        <v>0</v>
      </c>
    </row>
    <row r="136" spans="1:28" x14ac:dyDescent="0.2">
      <c r="A136" s="554"/>
      <c r="B136" s="545" t="s">
        <v>992</v>
      </c>
      <c r="C136" s="554"/>
      <c r="D136" s="554"/>
      <c r="E136" s="550"/>
      <c r="F136" s="555"/>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row>
    <row r="137" spans="1:28" x14ac:dyDescent="0.2">
      <c r="A137" s="554"/>
      <c r="B137" s="10" t="s">
        <v>347</v>
      </c>
      <c r="C137" s="554"/>
      <c r="D137" s="554"/>
      <c r="E137" s="550"/>
      <c r="F137" s="555"/>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row>
    <row r="138" spans="1:28" x14ac:dyDescent="0.2">
      <c r="A138" s="554"/>
      <c r="B138" s="554" t="s">
        <v>82</v>
      </c>
      <c r="C138" s="554"/>
      <c r="D138" s="554"/>
      <c r="E138" s="550"/>
      <c r="F138" s="555"/>
      <c r="G138" s="192"/>
      <c r="H138" s="811">
        <v>0</v>
      </c>
      <c r="I138" s="811">
        <v>3145209</v>
      </c>
      <c r="J138" s="811">
        <v>429845</v>
      </c>
      <c r="K138" s="811">
        <v>0</v>
      </c>
      <c r="L138" s="811">
        <v>261105</v>
      </c>
      <c r="M138" s="811">
        <v>1117245</v>
      </c>
      <c r="N138" s="811">
        <v>328822</v>
      </c>
      <c r="O138" s="811">
        <v>0</v>
      </c>
      <c r="P138" s="811">
        <v>0</v>
      </c>
      <c r="Q138" s="811">
        <v>516665</v>
      </c>
      <c r="R138" s="811">
        <v>0</v>
      </c>
      <c r="S138" s="811">
        <v>174237</v>
      </c>
      <c r="T138" s="811">
        <v>0</v>
      </c>
      <c r="U138" s="811">
        <v>0</v>
      </c>
      <c r="V138" s="811">
        <v>39528392</v>
      </c>
      <c r="W138" s="811">
        <v>1383950</v>
      </c>
      <c r="X138" s="811">
        <v>0</v>
      </c>
      <c r="Y138" s="811">
        <v>77244</v>
      </c>
      <c r="Z138" s="811">
        <v>4173297</v>
      </c>
      <c r="AA138" s="811">
        <v>26782000</v>
      </c>
      <c r="AB138" s="811">
        <v>0</v>
      </c>
    </row>
    <row r="139" spans="1:28" x14ac:dyDescent="0.2">
      <c r="A139" s="554"/>
      <c r="B139" s="545" t="s">
        <v>1021</v>
      </c>
      <c r="C139" s="554"/>
      <c r="D139" s="554"/>
      <c r="E139" s="550"/>
      <c r="F139" s="555"/>
      <c r="G139" s="192"/>
      <c r="H139" s="811">
        <v>0</v>
      </c>
      <c r="I139" s="811">
        <v>20385751</v>
      </c>
      <c r="J139" s="811">
        <v>0</v>
      </c>
      <c r="K139" s="811">
        <v>0</v>
      </c>
      <c r="L139" s="811">
        <v>0</v>
      </c>
      <c r="M139" s="811">
        <v>0</v>
      </c>
      <c r="N139" s="811">
        <v>0</v>
      </c>
      <c r="O139" s="811">
        <v>0</v>
      </c>
      <c r="P139" s="811">
        <v>58887</v>
      </c>
      <c r="Q139" s="811">
        <v>110000</v>
      </c>
      <c r="R139" s="811">
        <v>0</v>
      </c>
      <c r="S139" s="811">
        <v>0</v>
      </c>
      <c r="T139" s="811">
        <v>0</v>
      </c>
      <c r="U139" s="811">
        <v>0</v>
      </c>
      <c r="V139" s="811">
        <v>354291438</v>
      </c>
      <c r="W139" s="811">
        <v>255000</v>
      </c>
      <c r="X139" s="811">
        <v>0</v>
      </c>
      <c r="Y139" s="811">
        <v>9461207</v>
      </c>
      <c r="Z139" s="811">
        <v>0</v>
      </c>
      <c r="AA139" s="811">
        <v>3460000</v>
      </c>
      <c r="AB139" s="811">
        <v>0</v>
      </c>
    </row>
    <row r="140" spans="1:28" x14ac:dyDescent="0.2">
      <c r="A140" s="554"/>
      <c r="B140" s="554"/>
      <c r="C140" s="556" t="s">
        <v>291</v>
      </c>
      <c r="D140" s="554"/>
      <c r="E140" s="550"/>
      <c r="F140" s="550"/>
      <c r="G140" s="15">
        <f>SUM(G130:G139)</f>
        <v>0</v>
      </c>
      <c r="H140" s="15">
        <f t="shared" ref="H140:AB140" si="10">SUM(H130:H139)</f>
        <v>96832465</v>
      </c>
      <c r="I140" s="15">
        <f t="shared" si="10"/>
        <v>60892398</v>
      </c>
      <c r="J140" s="15">
        <f t="shared" si="10"/>
        <v>145331284</v>
      </c>
      <c r="K140" s="15">
        <f t="shared" si="10"/>
        <v>0</v>
      </c>
      <c r="L140" s="15">
        <f t="shared" si="10"/>
        <v>17431796</v>
      </c>
      <c r="M140" s="15">
        <f t="shared" si="10"/>
        <v>327937627</v>
      </c>
      <c r="N140" s="15">
        <f t="shared" si="10"/>
        <v>2172048</v>
      </c>
      <c r="O140" s="15">
        <f t="shared" si="10"/>
        <v>0</v>
      </c>
      <c r="P140" s="15">
        <f t="shared" si="10"/>
        <v>23058301</v>
      </c>
      <c r="Q140" s="15">
        <f t="shared" si="10"/>
        <v>42667029</v>
      </c>
      <c r="R140" s="15">
        <f t="shared" si="10"/>
        <v>0</v>
      </c>
      <c r="S140" s="15">
        <f t="shared" si="10"/>
        <v>13769847</v>
      </c>
      <c r="T140" s="15">
        <f t="shared" si="10"/>
        <v>0</v>
      </c>
      <c r="U140" s="15">
        <f t="shared" si="10"/>
        <v>0</v>
      </c>
      <c r="V140" s="15">
        <f t="shared" si="10"/>
        <v>603332751</v>
      </c>
      <c r="W140" s="15">
        <f t="shared" si="10"/>
        <v>6792588</v>
      </c>
      <c r="X140" s="15">
        <f t="shared" si="10"/>
        <v>0</v>
      </c>
      <c r="Y140" s="15">
        <f t="shared" si="10"/>
        <v>40751446</v>
      </c>
      <c r="Z140" s="15">
        <f t="shared" si="10"/>
        <v>40514904</v>
      </c>
      <c r="AA140" s="15">
        <f t="shared" si="10"/>
        <v>296475000</v>
      </c>
      <c r="AB140" s="15">
        <f t="shared" si="10"/>
        <v>8753247</v>
      </c>
    </row>
    <row r="141" spans="1:28" x14ac:dyDescent="0.2">
      <c r="A141" s="554"/>
      <c r="B141" s="554"/>
      <c r="C141" s="554"/>
      <c r="D141" s="554"/>
      <c r="E141" s="550"/>
      <c r="F141" s="550"/>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spans="1:28" x14ac:dyDescent="0.2">
      <c r="A142" s="554"/>
      <c r="B142" s="554"/>
      <c r="C142" s="554"/>
      <c r="D142" s="554" t="s">
        <v>491</v>
      </c>
      <c r="E142" s="550"/>
      <c r="F142" s="550"/>
      <c r="G142" s="15">
        <f>SUM(G94,G96:G102,G109,G111:G112,G114:G115,G127,G140)</f>
        <v>0</v>
      </c>
      <c r="H142" s="15">
        <f t="shared" ref="H142:AB142" si="11">SUM(H94,H96:H102,H109,H111:H112,H114:H115,H127,H140)</f>
        <v>108800213</v>
      </c>
      <c r="I142" s="15">
        <f t="shared" si="11"/>
        <v>73552890</v>
      </c>
      <c r="J142" s="15">
        <f t="shared" si="11"/>
        <v>193629366</v>
      </c>
      <c r="K142" s="15">
        <f t="shared" si="11"/>
        <v>0</v>
      </c>
      <c r="L142" s="15">
        <f t="shared" si="11"/>
        <v>19198131</v>
      </c>
      <c r="M142" s="15">
        <f t="shared" si="11"/>
        <v>342365206</v>
      </c>
      <c r="N142" s="15">
        <f t="shared" si="11"/>
        <v>26845914</v>
      </c>
      <c r="O142" s="15">
        <f t="shared" si="11"/>
        <v>0</v>
      </c>
      <c r="P142" s="15">
        <f t="shared" si="11"/>
        <v>25042375</v>
      </c>
      <c r="Q142" s="15">
        <f t="shared" si="11"/>
        <v>101116104</v>
      </c>
      <c r="R142" s="15">
        <f t="shared" si="11"/>
        <v>36433</v>
      </c>
      <c r="S142" s="15">
        <f t="shared" si="11"/>
        <v>15360277</v>
      </c>
      <c r="T142" s="15">
        <f t="shared" si="11"/>
        <v>0</v>
      </c>
      <c r="U142" s="15">
        <f t="shared" si="11"/>
        <v>0</v>
      </c>
      <c r="V142" s="15">
        <f t="shared" si="11"/>
        <v>12350211203</v>
      </c>
      <c r="W142" s="15">
        <f t="shared" si="11"/>
        <v>193804392</v>
      </c>
      <c r="X142" s="15">
        <f t="shared" si="11"/>
        <v>0</v>
      </c>
      <c r="Y142" s="15">
        <f t="shared" si="11"/>
        <v>48114728</v>
      </c>
      <c r="Z142" s="15">
        <f t="shared" si="11"/>
        <v>41969002</v>
      </c>
      <c r="AA142" s="15">
        <f t="shared" si="11"/>
        <v>1001297000</v>
      </c>
      <c r="AB142" s="15">
        <f t="shared" si="11"/>
        <v>18029826</v>
      </c>
    </row>
    <row r="143" spans="1:28" x14ac:dyDescent="0.2">
      <c r="A143" s="554"/>
      <c r="B143" s="554"/>
      <c r="C143" s="554"/>
      <c r="D143" s="554"/>
      <c r="E143" s="550"/>
      <c r="F143" s="550"/>
      <c r="G143" s="12"/>
      <c r="H143" s="12"/>
      <c r="I143" s="12"/>
      <c r="J143" s="12"/>
      <c r="K143" s="12"/>
      <c r="L143" s="12"/>
      <c r="M143" s="12"/>
      <c r="N143" s="12"/>
      <c r="O143" s="12"/>
      <c r="P143" s="12"/>
      <c r="Q143" s="12"/>
      <c r="R143" s="12"/>
      <c r="S143" s="12"/>
      <c r="T143" s="12"/>
      <c r="U143" s="12"/>
      <c r="V143" s="12"/>
      <c r="W143" s="12"/>
      <c r="X143" s="12"/>
      <c r="Y143" s="12"/>
      <c r="Z143" s="12"/>
      <c r="AA143" s="12"/>
      <c r="AB143" s="12"/>
    </row>
    <row r="144" spans="1:28" x14ac:dyDescent="0.2">
      <c r="A144" s="547" t="s">
        <v>854</v>
      </c>
      <c r="B144" s="554"/>
      <c r="C144" s="554"/>
      <c r="D144" s="554"/>
      <c r="E144" s="550"/>
      <c r="F144" s="550"/>
      <c r="G144" s="12"/>
      <c r="H144" s="12"/>
      <c r="I144" s="12"/>
      <c r="J144" s="12"/>
      <c r="K144" s="12"/>
      <c r="L144" s="12"/>
      <c r="M144" s="12"/>
      <c r="N144" s="12"/>
      <c r="O144" s="12"/>
      <c r="P144" s="12"/>
      <c r="Q144" s="12"/>
      <c r="R144" s="12"/>
      <c r="S144" s="12"/>
      <c r="T144" s="12"/>
      <c r="U144" s="12"/>
      <c r="V144" s="12"/>
      <c r="W144" s="12"/>
      <c r="X144" s="12"/>
      <c r="Y144" s="12"/>
      <c r="Z144" s="12"/>
      <c r="AA144" s="12"/>
      <c r="AB144" s="12"/>
    </row>
    <row r="145" spans="1:28" x14ac:dyDescent="0.2">
      <c r="A145" s="556" t="s">
        <v>853</v>
      </c>
      <c r="B145" s="554"/>
      <c r="C145" s="554"/>
      <c r="D145" s="554"/>
      <c r="E145" s="550" t="s">
        <v>135</v>
      </c>
      <c r="F145" s="550"/>
      <c r="G145" s="192"/>
      <c r="H145" s="811">
        <v>10161846</v>
      </c>
      <c r="I145" s="811">
        <v>20153467</v>
      </c>
      <c r="J145" s="811">
        <v>5675007</v>
      </c>
      <c r="K145" s="811">
        <v>0</v>
      </c>
      <c r="L145" s="811">
        <v>2477104</v>
      </c>
      <c r="M145" s="811">
        <v>-40178222</v>
      </c>
      <c r="N145" s="811">
        <v>5284864</v>
      </c>
      <c r="O145" s="811">
        <v>0</v>
      </c>
      <c r="P145" s="811">
        <v>-4513622</v>
      </c>
      <c r="Q145" s="811">
        <v>34385630</v>
      </c>
      <c r="R145" s="811">
        <v>0</v>
      </c>
      <c r="S145" s="811">
        <v>5955657</v>
      </c>
      <c r="T145" s="811">
        <v>0</v>
      </c>
      <c r="U145" s="811">
        <v>0</v>
      </c>
      <c r="V145" s="811">
        <v>233935186</v>
      </c>
      <c r="W145" s="811">
        <v>51199643</v>
      </c>
      <c r="X145" s="811">
        <v>0</v>
      </c>
      <c r="Y145" s="811">
        <v>33294535</v>
      </c>
      <c r="Z145" s="811">
        <v>52323</v>
      </c>
      <c r="AA145" s="811">
        <v>280419000</v>
      </c>
      <c r="AB145" s="811">
        <v>-5084483</v>
      </c>
    </row>
    <row r="146" spans="1:28" x14ac:dyDescent="0.2">
      <c r="A146" s="554" t="s">
        <v>762</v>
      </c>
      <c r="B146" s="554"/>
      <c r="C146" s="554"/>
      <c r="D146" s="554"/>
      <c r="E146" s="550"/>
      <c r="F146" s="550"/>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spans="1:28" x14ac:dyDescent="0.2">
      <c r="A147" s="554"/>
      <c r="B147" s="554" t="s">
        <v>763</v>
      </c>
      <c r="C147" s="554"/>
      <c r="D147" s="554"/>
      <c r="E147" s="550"/>
      <c r="F147" s="550"/>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x14ac:dyDescent="0.2">
      <c r="A148" s="554"/>
      <c r="B148" s="554"/>
      <c r="C148" s="554"/>
      <c r="D148" s="554"/>
      <c r="E148" s="550"/>
      <c r="F148" s="550"/>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row>
    <row r="149" spans="1:28" x14ac:dyDescent="0.2">
      <c r="A149" s="554"/>
      <c r="B149" s="554"/>
      <c r="C149" s="554"/>
      <c r="D149" s="554"/>
      <c r="E149" s="550"/>
      <c r="F149" s="550"/>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row>
    <row r="150" spans="1:28" x14ac:dyDescent="0.2">
      <c r="A150" s="554"/>
      <c r="B150" s="554"/>
      <c r="C150" s="554"/>
      <c r="D150" s="554"/>
      <c r="E150" s="550"/>
      <c r="F150" s="550"/>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row>
    <row r="151" spans="1:28" x14ac:dyDescent="0.2">
      <c r="A151" s="554"/>
      <c r="B151" s="554"/>
      <c r="C151" s="554"/>
      <c r="D151" s="554"/>
      <c r="E151" s="550"/>
      <c r="F151" s="550"/>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row>
    <row r="152" spans="1:28" x14ac:dyDescent="0.2">
      <c r="A152" s="554"/>
      <c r="B152" s="554"/>
      <c r="C152" s="554"/>
      <c r="D152" s="554"/>
      <c r="E152" s="550"/>
      <c r="F152" s="550"/>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row>
    <row r="153" spans="1:28" x14ac:dyDescent="0.2">
      <c r="A153" s="554"/>
      <c r="B153" s="554"/>
      <c r="C153" s="554"/>
      <c r="D153" s="554"/>
      <c r="E153" s="550"/>
      <c r="F153" s="550"/>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row>
    <row r="154" spans="1:28" x14ac:dyDescent="0.2">
      <c r="A154" s="554"/>
      <c r="B154" s="554"/>
      <c r="C154" s="545" t="s">
        <v>1022</v>
      </c>
      <c r="D154" s="554"/>
      <c r="E154" s="549"/>
      <c r="F154" s="550"/>
      <c r="G154" s="192"/>
      <c r="H154" s="811">
        <v>37704716</v>
      </c>
      <c r="I154" s="811">
        <v>716265116</v>
      </c>
      <c r="J154" s="811">
        <v>201063894</v>
      </c>
      <c r="K154" s="811">
        <v>0</v>
      </c>
      <c r="L154" s="811">
        <v>102811053</v>
      </c>
      <c r="M154" s="811">
        <v>62090159</v>
      </c>
      <c r="N154" s="1119">
        <f>102095689-24495239</f>
        <v>77600450</v>
      </c>
      <c r="O154" s="1119">
        <f>0+1793194</f>
        <v>1793194</v>
      </c>
      <c r="P154" s="811">
        <v>19408471</v>
      </c>
      <c r="Q154" s="811">
        <v>172489368</v>
      </c>
      <c r="R154" s="811">
        <v>0</v>
      </c>
      <c r="S154" s="811">
        <v>43829136</v>
      </c>
      <c r="T154" s="811">
        <v>0</v>
      </c>
      <c r="U154" s="811">
        <v>0</v>
      </c>
      <c r="V154" s="811">
        <v>1224062516</v>
      </c>
      <c r="W154" s="811">
        <v>401486813</v>
      </c>
      <c r="X154" s="811">
        <v>0</v>
      </c>
      <c r="Y154" s="811">
        <v>145084906</v>
      </c>
      <c r="Z154" s="811">
        <v>344778601</v>
      </c>
      <c r="AA154" s="811">
        <v>824869000</v>
      </c>
      <c r="AB154" s="811">
        <v>19129988</v>
      </c>
    </row>
    <row r="155" spans="1:28" x14ac:dyDescent="0.2">
      <c r="A155" s="554"/>
      <c r="B155" s="554"/>
      <c r="C155" s="554"/>
      <c r="D155" s="554"/>
      <c r="E155" s="550"/>
      <c r="F155" s="550"/>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row>
    <row r="156" spans="1:28" x14ac:dyDescent="0.2">
      <c r="A156" s="554"/>
      <c r="B156" s="554"/>
      <c r="C156" s="554" t="s">
        <v>108</v>
      </c>
      <c r="D156" s="556" t="s">
        <v>109</v>
      </c>
      <c r="E156" s="550"/>
      <c r="F156" s="550"/>
      <c r="G156" s="15">
        <f t="shared" ref="G156:AB156" si="12">SUM(G148:G155)</f>
        <v>0</v>
      </c>
      <c r="H156" s="15">
        <f t="shared" si="12"/>
        <v>37704716</v>
      </c>
      <c r="I156" s="15">
        <f t="shared" si="12"/>
        <v>716265116</v>
      </c>
      <c r="J156" s="15">
        <f t="shared" si="12"/>
        <v>201063894</v>
      </c>
      <c r="K156" s="15">
        <f t="shared" si="12"/>
        <v>0</v>
      </c>
      <c r="L156" s="15">
        <f t="shared" si="12"/>
        <v>102811053</v>
      </c>
      <c r="M156" s="15">
        <f t="shared" si="12"/>
        <v>62090159</v>
      </c>
      <c r="N156" s="15">
        <f t="shared" si="12"/>
        <v>77600450</v>
      </c>
      <c r="O156" s="15">
        <f t="shared" si="12"/>
        <v>1793194</v>
      </c>
      <c r="P156" s="15">
        <f t="shared" si="12"/>
        <v>19408471</v>
      </c>
      <c r="Q156" s="15">
        <f t="shared" si="12"/>
        <v>172489368</v>
      </c>
      <c r="R156" s="15">
        <f t="shared" si="12"/>
        <v>0</v>
      </c>
      <c r="S156" s="15">
        <f t="shared" si="12"/>
        <v>43829136</v>
      </c>
      <c r="T156" s="15">
        <f t="shared" si="12"/>
        <v>0</v>
      </c>
      <c r="U156" s="15">
        <f t="shared" si="12"/>
        <v>0</v>
      </c>
      <c r="V156" s="15">
        <f t="shared" si="12"/>
        <v>1224062516</v>
      </c>
      <c r="W156" s="15">
        <f t="shared" si="12"/>
        <v>401486813</v>
      </c>
      <c r="X156" s="15">
        <f t="shared" si="12"/>
        <v>0</v>
      </c>
      <c r="Y156" s="15">
        <f t="shared" si="12"/>
        <v>145084906</v>
      </c>
      <c r="Z156" s="15">
        <f t="shared" si="12"/>
        <v>344778601</v>
      </c>
      <c r="AA156" s="15">
        <f t="shared" si="12"/>
        <v>824869000</v>
      </c>
      <c r="AB156" s="15">
        <f t="shared" si="12"/>
        <v>19129988</v>
      </c>
    </row>
    <row r="157" spans="1:28" x14ac:dyDescent="0.2">
      <c r="A157" s="554"/>
      <c r="B157" s="554" t="s">
        <v>764</v>
      </c>
      <c r="C157" s="554"/>
      <c r="D157" s="554"/>
      <c r="E157" s="550"/>
      <c r="F157" s="550"/>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spans="1:28" x14ac:dyDescent="0.2">
      <c r="A158" s="554"/>
      <c r="B158" s="554"/>
      <c r="C158" s="554"/>
      <c r="D158" s="554"/>
      <c r="E158" s="550"/>
      <c r="F158" s="550"/>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row>
    <row r="159" spans="1:28" x14ac:dyDescent="0.2">
      <c r="A159" s="554"/>
      <c r="B159" s="554"/>
      <c r="C159" s="554"/>
      <c r="D159" s="554"/>
      <c r="E159" s="550"/>
      <c r="F159" s="550"/>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row>
    <row r="160" spans="1:28" x14ac:dyDescent="0.2">
      <c r="A160" s="554"/>
      <c r="B160" s="554"/>
      <c r="C160" s="554"/>
      <c r="D160" s="554"/>
      <c r="E160" s="550"/>
      <c r="F160" s="550"/>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row>
    <row r="161" spans="1:30" x14ac:dyDescent="0.2">
      <c r="A161" s="554"/>
      <c r="B161" s="554"/>
      <c r="C161" s="554"/>
      <c r="D161" s="554"/>
      <c r="E161" s="550"/>
      <c r="F161" s="550"/>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row>
    <row r="162" spans="1:30" x14ac:dyDescent="0.2">
      <c r="A162" s="554"/>
      <c r="B162" s="554"/>
      <c r="C162" s="554"/>
      <c r="D162" s="554"/>
      <c r="E162" s="550"/>
      <c r="F162" s="550"/>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row>
    <row r="163" spans="1:30" x14ac:dyDescent="0.2">
      <c r="A163" s="554"/>
      <c r="B163" s="554"/>
      <c r="C163" s="554"/>
      <c r="D163" s="554"/>
      <c r="E163" s="550"/>
      <c r="F163" s="550"/>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row>
    <row r="164" spans="1:30" x14ac:dyDescent="0.2">
      <c r="A164" s="554"/>
      <c r="B164" s="554"/>
      <c r="C164" s="554"/>
      <c r="D164" s="554"/>
      <c r="E164" s="550"/>
      <c r="F164" s="550"/>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row>
    <row r="165" spans="1:30" x14ac:dyDescent="0.2">
      <c r="A165" s="554"/>
      <c r="B165" s="554"/>
      <c r="C165" s="554"/>
      <c r="D165" s="554"/>
      <c r="E165" s="550"/>
      <c r="F165" s="550"/>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row>
    <row r="166" spans="1:30" x14ac:dyDescent="0.2">
      <c r="A166" s="554"/>
      <c r="B166" s="554"/>
      <c r="C166" s="554"/>
      <c r="D166" s="554"/>
      <c r="E166" s="550"/>
      <c r="F166" s="550"/>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row>
    <row r="167" spans="1:30" x14ac:dyDescent="0.2">
      <c r="A167" s="554"/>
      <c r="B167" s="554"/>
      <c r="C167" s="554"/>
      <c r="D167" s="554"/>
      <c r="E167" s="550"/>
      <c r="F167" s="550"/>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row>
    <row r="168" spans="1:30" x14ac:dyDescent="0.2">
      <c r="A168" s="554"/>
      <c r="B168" s="554"/>
      <c r="C168" s="545" t="s">
        <v>1022</v>
      </c>
      <c r="D168" s="554"/>
      <c r="E168" s="549"/>
      <c r="F168" s="550"/>
      <c r="G168" s="192"/>
      <c r="H168" s="811">
        <v>36955849</v>
      </c>
      <c r="I168" s="811">
        <v>550637462</v>
      </c>
      <c r="J168" s="811">
        <v>133345100</v>
      </c>
      <c r="K168" s="811">
        <v>0</v>
      </c>
      <c r="L168" s="811">
        <v>66547052</v>
      </c>
      <c r="M168" s="811">
        <v>47098477</v>
      </c>
      <c r="N168" s="1119">
        <f>12333799+20395239</f>
        <v>32729038</v>
      </c>
      <c r="O168" s="811">
        <v>0</v>
      </c>
      <c r="P168" s="811">
        <v>37953030</v>
      </c>
      <c r="Q168" s="811">
        <v>125154193</v>
      </c>
      <c r="R168" s="811">
        <v>173612</v>
      </c>
      <c r="S168" s="811">
        <v>34969436</v>
      </c>
      <c r="T168" s="811">
        <v>0</v>
      </c>
      <c r="U168" s="811">
        <v>0</v>
      </c>
      <c r="V168" s="811">
        <v>1253539365</v>
      </c>
      <c r="W168" s="811">
        <v>557877544</v>
      </c>
      <c r="X168" s="811">
        <v>0</v>
      </c>
      <c r="Y168" s="811">
        <v>134450179</v>
      </c>
      <c r="Z168" s="811">
        <v>226459378</v>
      </c>
      <c r="AA168" s="811">
        <v>553660000</v>
      </c>
      <c r="AB168" s="811">
        <v>9959190</v>
      </c>
    </row>
    <row r="169" spans="1:30" x14ac:dyDescent="0.2">
      <c r="A169" s="554"/>
      <c r="B169" s="554"/>
      <c r="C169" s="554"/>
      <c r="D169" s="554"/>
      <c r="E169" s="550"/>
      <c r="F169" s="550"/>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row>
    <row r="170" spans="1:30" x14ac:dyDescent="0.2">
      <c r="A170" s="554"/>
      <c r="B170" s="554"/>
      <c r="C170" s="554"/>
      <c r="D170" s="556" t="s">
        <v>110</v>
      </c>
      <c r="E170" s="550"/>
      <c r="F170" s="550"/>
      <c r="G170" s="15">
        <f t="shared" ref="G170:AB170" si="13">SUM(G158:G169)</f>
        <v>0</v>
      </c>
      <c r="H170" s="15">
        <f t="shared" si="13"/>
        <v>36955849</v>
      </c>
      <c r="I170" s="15">
        <f t="shared" si="13"/>
        <v>550637462</v>
      </c>
      <c r="J170" s="15">
        <f t="shared" si="13"/>
        <v>133345100</v>
      </c>
      <c r="K170" s="15">
        <f t="shared" si="13"/>
        <v>0</v>
      </c>
      <c r="L170" s="15">
        <f t="shared" si="13"/>
        <v>66547052</v>
      </c>
      <c r="M170" s="15">
        <f t="shared" si="13"/>
        <v>47098477</v>
      </c>
      <c r="N170" s="15">
        <f t="shared" si="13"/>
        <v>32729038</v>
      </c>
      <c r="O170" s="15">
        <f t="shared" si="13"/>
        <v>0</v>
      </c>
      <c r="P170" s="15">
        <f t="shared" si="13"/>
        <v>37953030</v>
      </c>
      <c r="Q170" s="15">
        <f t="shared" si="13"/>
        <v>125154193</v>
      </c>
      <c r="R170" s="15">
        <f t="shared" si="13"/>
        <v>173612</v>
      </c>
      <c r="S170" s="15">
        <f t="shared" si="13"/>
        <v>34969436</v>
      </c>
      <c r="T170" s="15">
        <f t="shared" si="13"/>
        <v>0</v>
      </c>
      <c r="U170" s="15">
        <f t="shared" si="13"/>
        <v>0</v>
      </c>
      <c r="V170" s="15">
        <f t="shared" si="13"/>
        <v>1253539365</v>
      </c>
      <c r="W170" s="15">
        <f t="shared" si="13"/>
        <v>557877544</v>
      </c>
      <c r="X170" s="15">
        <f t="shared" si="13"/>
        <v>0</v>
      </c>
      <c r="Y170" s="15">
        <f t="shared" si="13"/>
        <v>134450179</v>
      </c>
      <c r="Z170" s="15">
        <f t="shared" si="13"/>
        <v>226459378</v>
      </c>
      <c r="AA170" s="15">
        <f t="shared" si="13"/>
        <v>553660000</v>
      </c>
      <c r="AB170" s="15">
        <f t="shared" si="13"/>
        <v>9959190</v>
      </c>
    </row>
    <row r="171" spans="1:30" x14ac:dyDescent="0.2">
      <c r="A171" s="554"/>
      <c r="B171" s="554"/>
      <c r="C171" s="554"/>
      <c r="D171" s="554"/>
      <c r="E171" s="550"/>
      <c r="F171" s="550"/>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spans="1:30" x14ac:dyDescent="0.2">
      <c r="A172" s="556" t="s">
        <v>495</v>
      </c>
      <c r="B172" s="554"/>
      <c r="C172" s="554"/>
      <c r="D172" s="554"/>
      <c r="E172" s="550"/>
      <c r="F172" s="550"/>
      <c r="G172" s="192"/>
      <c r="H172" s="811">
        <v>4022424</v>
      </c>
      <c r="I172" s="811">
        <v>76294999</v>
      </c>
      <c r="J172" s="811">
        <v>71193440</v>
      </c>
      <c r="K172" s="811">
        <v>0</v>
      </c>
      <c r="L172" s="811">
        <v>28126301</v>
      </c>
      <c r="M172" s="811">
        <v>13366033</v>
      </c>
      <c r="N172" s="1119">
        <f>-10854906+4100000</f>
        <v>-6754906</v>
      </c>
      <c r="O172" s="1119">
        <f>0+10379486</f>
        <v>10379486</v>
      </c>
      <c r="P172" s="811">
        <v>46716619</v>
      </c>
      <c r="Q172" s="811">
        <v>50496588</v>
      </c>
      <c r="R172" s="811">
        <v>129622</v>
      </c>
      <c r="S172" s="811">
        <v>10220313</v>
      </c>
      <c r="T172" s="811">
        <v>0</v>
      </c>
      <c r="U172" s="811">
        <v>0</v>
      </c>
      <c r="V172" s="811">
        <v>616806015</v>
      </c>
      <c r="W172" s="811">
        <v>143772531</v>
      </c>
      <c r="X172" s="811">
        <v>0</v>
      </c>
      <c r="Y172" s="811">
        <v>112679343</v>
      </c>
      <c r="Z172" s="811">
        <v>120844871</v>
      </c>
      <c r="AA172" s="811">
        <v>178094000</v>
      </c>
      <c r="AB172" s="811">
        <v>3865742</v>
      </c>
      <c r="AD172" s="546" t="s">
        <v>944</v>
      </c>
    </row>
    <row r="173" spans="1:30" ht="13.5" thickBot="1" x14ac:dyDescent="0.25">
      <c r="A173" s="556" t="s">
        <v>855</v>
      </c>
      <c r="B173" s="554"/>
      <c r="C173" s="554"/>
      <c r="D173" s="554"/>
      <c r="E173" s="550"/>
      <c r="F173" s="550"/>
      <c r="G173" s="20">
        <f t="shared" ref="G173:AB173" si="14">IF(SUM(G145,G156,G170,G172)=SUM(G83-G142),SUM(G145,G156,G170,G172),"ERROR")</f>
        <v>0</v>
      </c>
      <c r="H173" s="20">
        <f t="shared" si="14"/>
        <v>88844835</v>
      </c>
      <c r="I173" s="20">
        <f t="shared" si="14"/>
        <v>1363351044</v>
      </c>
      <c r="J173" s="20">
        <f t="shared" si="14"/>
        <v>411277441</v>
      </c>
      <c r="K173" s="20">
        <f t="shared" si="14"/>
        <v>0</v>
      </c>
      <c r="L173" s="20">
        <f t="shared" si="14"/>
        <v>199961510</v>
      </c>
      <c r="M173" s="20">
        <f t="shared" si="14"/>
        <v>82376447</v>
      </c>
      <c r="N173" s="20">
        <f t="shared" si="14"/>
        <v>108859446</v>
      </c>
      <c r="O173" s="20">
        <f t="shared" si="14"/>
        <v>12172680</v>
      </c>
      <c r="P173" s="20">
        <f t="shared" si="14"/>
        <v>99564498</v>
      </c>
      <c r="Q173" s="20">
        <f t="shared" si="14"/>
        <v>382525779</v>
      </c>
      <c r="R173" s="20">
        <f t="shared" si="14"/>
        <v>303234</v>
      </c>
      <c r="S173" s="20">
        <f t="shared" si="14"/>
        <v>94974542</v>
      </c>
      <c r="T173" s="20">
        <f t="shared" si="14"/>
        <v>0</v>
      </c>
      <c r="U173" s="20">
        <f t="shared" si="14"/>
        <v>0</v>
      </c>
      <c r="V173" s="20">
        <f t="shared" si="14"/>
        <v>3328343082</v>
      </c>
      <c r="W173" s="20">
        <f>IF(SUM(W145,W156,W170,W172)=SUM(W83-W142),SUM(W145,W156,W170,W172),"ERROR")</f>
        <v>1154336531</v>
      </c>
      <c r="X173" s="20">
        <f t="shared" si="14"/>
        <v>0</v>
      </c>
      <c r="Y173" s="20">
        <f t="shared" si="14"/>
        <v>425508963</v>
      </c>
      <c r="Z173" s="20">
        <f t="shared" si="14"/>
        <v>692135173</v>
      </c>
      <c r="AA173" s="20">
        <f t="shared" si="14"/>
        <v>1837042000</v>
      </c>
      <c r="AB173" s="20">
        <f t="shared" si="14"/>
        <v>27870437</v>
      </c>
      <c r="AD173" s="617">
        <f>SUM(H173:AB173)</f>
        <v>10309447642</v>
      </c>
    </row>
    <row r="174" spans="1:30" ht="13.5" thickTop="1" x14ac:dyDescent="0.2">
      <c r="A174" s="554"/>
      <c r="B174" s="554"/>
      <c r="C174" s="554"/>
      <c r="D174" s="554"/>
      <c r="E174" s="550"/>
      <c r="F174" s="550"/>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spans="1:30" x14ac:dyDescent="0.2">
      <c r="A175" s="554"/>
      <c r="B175" s="546"/>
      <c r="C175" s="546"/>
      <c r="D175" s="546"/>
      <c r="E175" s="562" t="s">
        <v>207</v>
      </c>
      <c r="F175" s="550"/>
      <c r="G175" s="410">
        <f>G83-G142</f>
        <v>0</v>
      </c>
      <c r="H175" s="410">
        <f t="shared" ref="H175:AB175" si="15">H83-H142</f>
        <v>88844835</v>
      </c>
      <c r="I175" s="410">
        <f t="shared" si="15"/>
        <v>1363351044</v>
      </c>
      <c r="J175" s="410">
        <f t="shared" si="15"/>
        <v>411277441</v>
      </c>
      <c r="K175" s="410">
        <f t="shared" si="15"/>
        <v>0</v>
      </c>
      <c r="L175" s="410">
        <f t="shared" si="15"/>
        <v>199961510</v>
      </c>
      <c r="M175" s="410">
        <f t="shared" si="15"/>
        <v>82376447</v>
      </c>
      <c r="N175" s="410">
        <f t="shared" si="15"/>
        <v>108859446</v>
      </c>
      <c r="O175" s="410">
        <f t="shared" si="15"/>
        <v>12172680</v>
      </c>
      <c r="P175" s="410">
        <f t="shared" si="15"/>
        <v>99564498</v>
      </c>
      <c r="Q175" s="410">
        <f t="shared" si="15"/>
        <v>382525779</v>
      </c>
      <c r="R175" s="410">
        <f t="shared" si="15"/>
        <v>303234</v>
      </c>
      <c r="S175" s="410">
        <f t="shared" si="15"/>
        <v>94974542</v>
      </c>
      <c r="T175" s="410">
        <f t="shared" si="15"/>
        <v>0</v>
      </c>
      <c r="U175" s="410">
        <f t="shared" si="15"/>
        <v>0</v>
      </c>
      <c r="V175" s="410">
        <f t="shared" si="15"/>
        <v>3328343082</v>
      </c>
      <c r="W175" s="410">
        <f t="shared" si="15"/>
        <v>1154336531</v>
      </c>
      <c r="X175" s="410">
        <f t="shared" si="15"/>
        <v>0</v>
      </c>
      <c r="Y175" s="410">
        <f t="shared" si="15"/>
        <v>425508963</v>
      </c>
      <c r="Z175" s="410">
        <f t="shared" si="15"/>
        <v>692135173</v>
      </c>
      <c r="AA175" s="410">
        <f t="shared" si="15"/>
        <v>1837042000</v>
      </c>
      <c r="AB175" s="410">
        <f t="shared" si="15"/>
        <v>27870437</v>
      </c>
    </row>
    <row r="176" spans="1:30" x14ac:dyDescent="0.2">
      <c r="A176" s="554"/>
      <c r="B176" s="563"/>
      <c r="C176" s="554"/>
      <c r="D176" s="554"/>
      <c r="E176" s="562" t="s">
        <v>945</v>
      </c>
      <c r="F176" s="550"/>
      <c r="G176" s="410">
        <f>SUM(G145,G156,G170,G172)</f>
        <v>0</v>
      </c>
      <c r="H176" s="410">
        <f t="shared" ref="H176:AB176" si="16">SUM(H145,H156,H170,H172)</f>
        <v>88844835</v>
      </c>
      <c r="I176" s="410">
        <f t="shared" si="16"/>
        <v>1363351044</v>
      </c>
      <c r="J176" s="410">
        <f t="shared" si="16"/>
        <v>411277441</v>
      </c>
      <c r="K176" s="410">
        <f t="shared" si="16"/>
        <v>0</v>
      </c>
      <c r="L176" s="410">
        <f t="shared" si="16"/>
        <v>199961510</v>
      </c>
      <c r="M176" s="410">
        <f t="shared" si="16"/>
        <v>82376447</v>
      </c>
      <c r="N176" s="410">
        <f t="shared" si="16"/>
        <v>108859446</v>
      </c>
      <c r="O176" s="410">
        <f t="shared" si="16"/>
        <v>12172680</v>
      </c>
      <c r="P176" s="410">
        <f t="shared" si="16"/>
        <v>99564498</v>
      </c>
      <c r="Q176" s="410">
        <f t="shared" si="16"/>
        <v>382525779</v>
      </c>
      <c r="R176" s="410">
        <f t="shared" si="16"/>
        <v>303234</v>
      </c>
      <c r="S176" s="410">
        <f t="shared" si="16"/>
        <v>94974542</v>
      </c>
      <c r="T176" s="410">
        <f t="shared" si="16"/>
        <v>0</v>
      </c>
      <c r="U176" s="410">
        <f t="shared" si="16"/>
        <v>0</v>
      </c>
      <c r="V176" s="410">
        <f t="shared" si="16"/>
        <v>3328343082</v>
      </c>
      <c r="W176" s="410">
        <f t="shared" si="16"/>
        <v>1154336531</v>
      </c>
      <c r="X176" s="410">
        <f t="shared" si="16"/>
        <v>0</v>
      </c>
      <c r="Y176" s="410">
        <f t="shared" si="16"/>
        <v>425508963</v>
      </c>
      <c r="Z176" s="410">
        <f t="shared" si="16"/>
        <v>692135173</v>
      </c>
      <c r="AA176" s="410">
        <f t="shared" si="16"/>
        <v>1837042000</v>
      </c>
      <c r="AB176" s="410">
        <f t="shared" si="16"/>
        <v>27870437</v>
      </c>
    </row>
    <row r="177" spans="1:28" ht="30.75" customHeight="1" x14ac:dyDescent="0.2">
      <c r="A177" s="1156" t="s">
        <v>866</v>
      </c>
      <c r="B177" s="1159"/>
      <c r="C177" s="1159"/>
      <c r="D177" s="1159"/>
      <c r="E177" s="1158"/>
      <c r="F177" s="550"/>
      <c r="G177" s="12"/>
      <c r="H177" s="12"/>
      <c r="I177" s="12"/>
      <c r="J177" s="12"/>
      <c r="K177" s="12"/>
      <c r="L177" s="12"/>
      <c r="M177" s="12"/>
      <c r="N177" s="12"/>
      <c r="O177" s="12"/>
      <c r="P177" s="12"/>
      <c r="Q177" s="12"/>
      <c r="R177" s="12"/>
      <c r="S177" s="12"/>
      <c r="T177" s="12"/>
      <c r="U177" s="12"/>
      <c r="V177" s="12"/>
      <c r="W177" s="12"/>
      <c r="X177" s="12"/>
      <c r="Y177" s="12"/>
      <c r="Z177" s="12"/>
      <c r="AA177" s="12"/>
      <c r="AB177" s="12"/>
    </row>
    <row r="178" spans="1:28" x14ac:dyDescent="0.2">
      <c r="A178" s="554"/>
      <c r="B178" s="563"/>
      <c r="C178" s="554"/>
      <c r="D178" s="554"/>
      <c r="E178" s="550"/>
      <c r="F178" s="550"/>
      <c r="G178" s="12"/>
      <c r="H178" s="12"/>
      <c r="I178" s="12"/>
      <c r="J178" s="12"/>
      <c r="K178" s="12"/>
      <c r="L178" s="12"/>
      <c r="M178" s="12"/>
      <c r="N178" s="12"/>
      <c r="O178" s="12"/>
      <c r="P178" s="12"/>
      <c r="Q178" s="12"/>
      <c r="R178" s="12"/>
      <c r="S178" s="12"/>
      <c r="T178" s="12"/>
      <c r="U178" s="12"/>
      <c r="V178" s="12"/>
      <c r="W178" s="12"/>
      <c r="X178" s="12"/>
      <c r="Y178" s="12"/>
      <c r="Z178" s="12"/>
      <c r="AA178" s="12"/>
      <c r="AB178" s="12"/>
    </row>
    <row r="179" spans="1:28" x14ac:dyDescent="0.2">
      <c r="A179" s="547"/>
      <c r="D179" s="554"/>
      <c r="E179" s="550"/>
      <c r="F179" s="550"/>
      <c r="G179" s="12"/>
      <c r="H179" s="12"/>
      <c r="I179" s="12"/>
      <c r="J179" s="12"/>
      <c r="K179" s="12"/>
      <c r="L179" s="12"/>
      <c r="M179" s="12"/>
      <c r="N179" s="12"/>
      <c r="O179" s="12"/>
      <c r="P179" s="12"/>
      <c r="Q179" s="12"/>
      <c r="R179" s="12"/>
      <c r="S179" s="12"/>
      <c r="T179" s="12"/>
      <c r="U179" s="12"/>
      <c r="V179" s="12"/>
      <c r="W179" s="12"/>
      <c r="X179" s="12"/>
      <c r="Y179" s="12"/>
      <c r="Z179" s="12"/>
      <c r="AA179" s="12"/>
      <c r="AB179" s="12"/>
    </row>
    <row r="180" spans="1:28" x14ac:dyDescent="0.2">
      <c r="A180" s="547" t="s">
        <v>490</v>
      </c>
      <c r="B180" s="554"/>
      <c r="C180" s="554"/>
      <c r="D180" s="554"/>
      <c r="E180" s="550"/>
      <c r="F180" s="550"/>
      <c r="G180" s="12"/>
      <c r="H180" s="12"/>
      <c r="I180" s="12"/>
      <c r="J180" s="12"/>
      <c r="K180" s="12"/>
      <c r="L180" s="12"/>
      <c r="M180" s="12"/>
      <c r="N180" s="12"/>
      <c r="O180" s="12"/>
      <c r="P180" s="12"/>
      <c r="Q180" s="12"/>
      <c r="R180" s="12"/>
      <c r="S180" s="12"/>
      <c r="T180" s="12"/>
      <c r="U180" s="12"/>
      <c r="V180" s="12"/>
      <c r="W180" s="12"/>
      <c r="X180" s="12"/>
      <c r="Y180" s="12"/>
      <c r="Z180" s="12"/>
      <c r="AA180" s="12"/>
      <c r="AB180" s="12"/>
    </row>
    <row r="181" spans="1:28" x14ac:dyDescent="0.2">
      <c r="A181" s="547"/>
      <c r="E181" s="550"/>
      <c r="H181" s="3"/>
      <c r="I181" s="3"/>
      <c r="J181" s="3"/>
      <c r="K181" s="3"/>
      <c r="L181" s="3"/>
      <c r="M181" s="3"/>
      <c r="N181" s="3"/>
      <c r="O181" s="3"/>
      <c r="P181" s="3"/>
      <c r="Q181" s="3"/>
      <c r="R181" s="3"/>
      <c r="S181" s="3"/>
      <c r="T181" s="3"/>
      <c r="U181" s="3"/>
      <c r="V181" s="3"/>
      <c r="W181" s="3"/>
      <c r="X181" s="3"/>
      <c r="Y181" s="3"/>
      <c r="Z181" s="3"/>
      <c r="AA181" s="3"/>
      <c r="AB181" s="3"/>
    </row>
    <row r="182" spans="1:28" x14ac:dyDescent="0.2">
      <c r="A182" s="547" t="s">
        <v>489</v>
      </c>
      <c r="B182" s="13"/>
      <c r="E182" s="550"/>
      <c r="H182" s="3"/>
      <c r="I182" s="3"/>
      <c r="J182" s="3"/>
      <c r="K182" s="3"/>
      <c r="L182" s="3"/>
      <c r="M182" s="3"/>
      <c r="N182" s="3"/>
      <c r="O182" s="3"/>
      <c r="P182" s="3"/>
      <c r="Q182" s="3"/>
      <c r="R182" s="3"/>
      <c r="S182" s="3"/>
      <c r="T182" s="3"/>
      <c r="U182" s="3"/>
      <c r="V182" s="3"/>
      <c r="W182" s="3"/>
      <c r="X182" s="3"/>
      <c r="Y182" s="3"/>
      <c r="Z182" s="3"/>
      <c r="AA182" s="3"/>
      <c r="AB182" s="3"/>
    </row>
    <row r="183" spans="1:28" x14ac:dyDescent="0.2">
      <c r="A183" s="554"/>
      <c r="B183" s="556" t="s">
        <v>444</v>
      </c>
      <c r="C183" s="556"/>
      <c r="E183" s="550"/>
      <c r="G183" s="195"/>
      <c r="H183" s="812">
        <v>3024309</v>
      </c>
      <c r="I183" s="812">
        <v>1114200</v>
      </c>
      <c r="J183" s="812">
        <v>28328592</v>
      </c>
      <c r="K183" s="812">
        <v>0</v>
      </c>
      <c r="L183" s="812">
        <v>0</v>
      </c>
      <c r="M183" s="812">
        <v>24037730</v>
      </c>
      <c r="N183" s="812">
        <v>2157110</v>
      </c>
      <c r="O183" s="812">
        <v>0</v>
      </c>
      <c r="P183" s="812">
        <v>197678</v>
      </c>
      <c r="Q183" s="1120">
        <f>69697385-62124773</f>
        <v>7572612</v>
      </c>
      <c r="R183" s="812">
        <v>0</v>
      </c>
      <c r="S183" s="812">
        <v>0</v>
      </c>
      <c r="T183" s="812">
        <v>0</v>
      </c>
      <c r="U183" s="812">
        <v>0</v>
      </c>
      <c r="V183" s="812">
        <v>576426808</v>
      </c>
      <c r="W183" s="812">
        <v>44920536</v>
      </c>
      <c r="X183" s="812">
        <v>0</v>
      </c>
      <c r="Y183" s="812">
        <v>0</v>
      </c>
      <c r="Z183" s="812">
        <v>0</v>
      </c>
      <c r="AA183" s="812">
        <v>62490000</v>
      </c>
      <c r="AB183" s="812">
        <v>4262655</v>
      </c>
    </row>
    <row r="184" spans="1:28" x14ac:dyDescent="0.2">
      <c r="A184" s="554"/>
      <c r="B184" s="556" t="s">
        <v>399</v>
      </c>
      <c r="C184" s="556"/>
      <c r="E184" s="550"/>
      <c r="G184" s="195"/>
      <c r="H184" s="812">
        <v>4385214</v>
      </c>
      <c r="I184" s="812">
        <v>72480768</v>
      </c>
      <c r="J184" s="812">
        <v>115813016</v>
      </c>
      <c r="K184" s="812">
        <v>0</v>
      </c>
      <c r="L184" s="812">
        <v>19123694</v>
      </c>
      <c r="M184" s="1120">
        <f>1321726+617042</f>
        <v>1938768</v>
      </c>
      <c r="N184" s="812">
        <v>7112621</v>
      </c>
      <c r="O184" s="812">
        <v>0</v>
      </c>
      <c r="P184" s="812">
        <v>-150023</v>
      </c>
      <c r="Q184" s="1120">
        <f>17785429+62124773</f>
        <v>79910202</v>
      </c>
      <c r="R184" s="812">
        <v>172668</v>
      </c>
      <c r="S184" s="812">
        <v>7193747</v>
      </c>
      <c r="T184" s="812">
        <v>0</v>
      </c>
      <c r="U184" s="812">
        <v>0</v>
      </c>
      <c r="V184" s="812">
        <v>121484440</v>
      </c>
      <c r="W184" s="812">
        <v>92018592</v>
      </c>
      <c r="X184" s="812">
        <v>0</v>
      </c>
      <c r="Y184" s="812">
        <v>29091877</v>
      </c>
      <c r="Z184" s="812">
        <v>35337215</v>
      </c>
      <c r="AA184" s="812">
        <v>133273000</v>
      </c>
      <c r="AB184" s="812">
        <v>0</v>
      </c>
    </row>
    <row r="185" spans="1:28" x14ac:dyDescent="0.2">
      <c r="A185" s="554"/>
      <c r="B185" s="556" t="s">
        <v>400</v>
      </c>
      <c r="C185" s="556"/>
      <c r="E185" s="550"/>
      <c r="G185" s="195"/>
      <c r="H185" s="812">
        <v>0</v>
      </c>
      <c r="I185" s="812">
        <v>2032427</v>
      </c>
      <c r="J185" s="812">
        <v>0</v>
      </c>
      <c r="K185" s="812">
        <v>0</v>
      </c>
      <c r="L185" s="812">
        <v>117728</v>
      </c>
      <c r="M185" s="812">
        <v>686620</v>
      </c>
      <c r="N185" s="812">
        <v>0</v>
      </c>
      <c r="O185" s="812">
        <v>0</v>
      </c>
      <c r="P185" s="812">
        <v>0</v>
      </c>
      <c r="Q185" s="812">
        <v>0</v>
      </c>
      <c r="R185" s="812">
        <v>0</v>
      </c>
      <c r="S185" s="812">
        <v>7700</v>
      </c>
      <c r="T185" s="812">
        <v>0</v>
      </c>
      <c r="U185" s="812">
        <v>0</v>
      </c>
      <c r="V185" s="812">
        <v>353250</v>
      </c>
      <c r="W185" s="812">
        <v>0</v>
      </c>
      <c r="X185" s="812">
        <v>0</v>
      </c>
      <c r="Y185" s="812">
        <v>254122</v>
      </c>
      <c r="Z185" s="812">
        <v>0</v>
      </c>
      <c r="AA185" s="812">
        <v>18971000</v>
      </c>
      <c r="AB185" s="812">
        <v>0</v>
      </c>
    </row>
    <row r="186" spans="1:28" x14ac:dyDescent="0.2">
      <c r="A186" s="554"/>
      <c r="B186" s="13"/>
      <c r="C186" s="554"/>
      <c r="E186" s="550"/>
      <c r="H186" s="3"/>
      <c r="I186" s="3"/>
      <c r="J186" s="3"/>
      <c r="K186" s="3"/>
      <c r="L186" s="3"/>
      <c r="M186" s="3"/>
      <c r="N186" s="3"/>
      <c r="O186" s="3"/>
      <c r="P186" s="3"/>
      <c r="Q186" s="3"/>
      <c r="R186" s="3"/>
      <c r="S186" s="3"/>
      <c r="T186" s="3"/>
      <c r="U186" s="3"/>
      <c r="V186" s="3"/>
      <c r="W186" s="3"/>
      <c r="X186" s="3"/>
      <c r="Y186" s="3"/>
      <c r="Z186" s="3"/>
      <c r="AA186" s="3"/>
      <c r="AB186" s="3"/>
    </row>
    <row r="187" spans="1:28" x14ac:dyDescent="0.2">
      <c r="A187" s="547" t="s">
        <v>123</v>
      </c>
      <c r="B187" s="13"/>
      <c r="C187" s="554"/>
      <c r="E187" s="550"/>
      <c r="H187" s="3"/>
      <c r="I187" s="3"/>
      <c r="J187" s="3"/>
      <c r="K187" s="3"/>
      <c r="L187" s="3"/>
      <c r="M187" s="3"/>
      <c r="N187" s="3"/>
      <c r="O187" s="3"/>
      <c r="P187" s="3"/>
      <c r="Q187" s="3"/>
      <c r="R187" s="3"/>
      <c r="S187" s="3"/>
      <c r="T187" s="3"/>
      <c r="U187" s="3"/>
      <c r="V187" s="3"/>
      <c r="W187" s="3"/>
      <c r="X187" s="3"/>
      <c r="Y187" s="3"/>
      <c r="Z187" s="3"/>
      <c r="AA187" s="3"/>
      <c r="AB187" s="3"/>
    </row>
    <row r="188" spans="1:28" x14ac:dyDescent="0.2">
      <c r="A188" s="556" t="s">
        <v>122</v>
      </c>
      <c r="B188" s="13"/>
      <c r="C188" s="554"/>
      <c r="E188" s="550"/>
      <c r="G188" s="195"/>
      <c r="H188" s="812">
        <v>13555028</v>
      </c>
      <c r="I188" s="812">
        <v>28116928</v>
      </c>
      <c r="J188" s="812">
        <v>119550040</v>
      </c>
      <c r="K188" s="812">
        <v>0</v>
      </c>
      <c r="L188" s="812">
        <v>25920750</v>
      </c>
      <c r="M188" s="812">
        <v>48055978</v>
      </c>
      <c r="N188" s="812">
        <v>11202998</v>
      </c>
      <c r="O188" s="812">
        <v>0</v>
      </c>
      <c r="P188" s="812">
        <v>11603675</v>
      </c>
      <c r="Q188" s="812">
        <v>111745730</v>
      </c>
      <c r="R188" s="812">
        <v>146548</v>
      </c>
      <c r="S188" s="812">
        <v>4928289</v>
      </c>
      <c r="T188" s="812">
        <v>0</v>
      </c>
      <c r="U188" s="812">
        <v>0</v>
      </c>
      <c r="V188" s="812">
        <v>871583343</v>
      </c>
      <c r="W188" s="812">
        <v>93907265</v>
      </c>
      <c r="X188" s="812">
        <v>0</v>
      </c>
      <c r="Y188" s="812">
        <v>28500022</v>
      </c>
      <c r="Z188" s="812">
        <v>41996751</v>
      </c>
      <c r="AA188" s="812">
        <v>106541000</v>
      </c>
      <c r="AB188" s="812">
        <v>6640934</v>
      </c>
    </row>
    <row r="189" spans="1:28" x14ac:dyDescent="0.2">
      <c r="A189" s="556" t="s">
        <v>642</v>
      </c>
      <c r="B189" s="13"/>
      <c r="C189" s="554"/>
      <c r="E189" s="549"/>
      <c r="G189" s="195"/>
      <c r="H189" s="812">
        <v>0</v>
      </c>
      <c r="I189" s="812">
        <v>6128</v>
      </c>
      <c r="J189" s="812">
        <v>7963</v>
      </c>
      <c r="K189" s="812">
        <v>0</v>
      </c>
      <c r="L189" s="812">
        <v>0</v>
      </c>
      <c r="M189" s="812">
        <v>0</v>
      </c>
      <c r="N189" s="812">
        <v>0</v>
      </c>
      <c r="O189" s="812">
        <v>0</v>
      </c>
      <c r="P189" s="812">
        <v>0</v>
      </c>
      <c r="Q189" s="812">
        <v>7956</v>
      </c>
      <c r="R189" s="812">
        <v>0</v>
      </c>
      <c r="S189" s="812">
        <v>12072</v>
      </c>
      <c r="T189" s="812">
        <v>0</v>
      </c>
      <c r="U189" s="812">
        <v>0</v>
      </c>
      <c r="V189" s="812">
        <v>602802</v>
      </c>
      <c r="W189" s="812">
        <v>0</v>
      </c>
      <c r="X189" s="812">
        <v>0</v>
      </c>
      <c r="Y189" s="812">
        <v>0</v>
      </c>
      <c r="Z189" s="812">
        <v>0</v>
      </c>
      <c r="AA189" s="812">
        <v>0</v>
      </c>
      <c r="AB189" s="812">
        <v>0</v>
      </c>
    </row>
    <row r="190" spans="1:28" x14ac:dyDescent="0.2">
      <c r="A190" s="547"/>
      <c r="B190" s="13"/>
      <c r="E190" s="550"/>
      <c r="H190" s="3"/>
      <c r="I190" s="3"/>
      <c r="J190" s="3"/>
      <c r="K190" s="3"/>
      <c r="L190" s="3"/>
      <c r="M190" s="3"/>
      <c r="N190" s="3"/>
      <c r="O190" s="3"/>
      <c r="P190" s="3"/>
      <c r="Q190" s="3"/>
      <c r="R190" s="3"/>
      <c r="S190" s="3"/>
      <c r="T190" s="3"/>
      <c r="U190" s="3"/>
      <c r="V190" s="3"/>
      <c r="W190" s="3"/>
      <c r="X190" s="3"/>
      <c r="Y190" s="3"/>
      <c r="Z190" s="3"/>
      <c r="AA190" s="3"/>
      <c r="AB190" s="3"/>
    </row>
    <row r="191" spans="1:28" x14ac:dyDescent="0.2">
      <c r="A191" s="547" t="s">
        <v>474</v>
      </c>
      <c r="B191" s="25"/>
      <c r="E191" s="550"/>
      <c r="G191" s="26">
        <f>SUM(G183:G185)-SUM(G188,G189)</f>
        <v>0</v>
      </c>
      <c r="H191" s="26">
        <f t="shared" ref="H191:AB191" si="17">SUM(H183:H185)-SUM(H188,H189)</f>
        <v>-6145505</v>
      </c>
      <c r="I191" s="26">
        <f t="shared" si="17"/>
        <v>47504339</v>
      </c>
      <c r="J191" s="26">
        <f t="shared" si="17"/>
        <v>24583605</v>
      </c>
      <c r="K191" s="26">
        <f t="shared" si="17"/>
        <v>0</v>
      </c>
      <c r="L191" s="26">
        <f t="shared" si="17"/>
        <v>-6679328</v>
      </c>
      <c r="M191" s="26">
        <f t="shared" si="17"/>
        <v>-21392860</v>
      </c>
      <c r="N191" s="26">
        <f t="shared" si="17"/>
        <v>-1933267</v>
      </c>
      <c r="O191" s="26">
        <f t="shared" si="17"/>
        <v>0</v>
      </c>
      <c r="P191" s="26">
        <f t="shared" si="17"/>
        <v>-11556020</v>
      </c>
      <c r="Q191" s="26">
        <f t="shared" si="17"/>
        <v>-24270872</v>
      </c>
      <c r="R191" s="26">
        <f t="shared" si="17"/>
        <v>26120</v>
      </c>
      <c r="S191" s="26">
        <f t="shared" si="17"/>
        <v>2261086</v>
      </c>
      <c r="T191" s="26">
        <f t="shared" si="17"/>
        <v>0</v>
      </c>
      <c r="U191" s="26">
        <f t="shared" si="17"/>
        <v>0</v>
      </c>
      <c r="V191" s="26">
        <f t="shared" si="17"/>
        <v>-173921647</v>
      </c>
      <c r="W191" s="26">
        <f t="shared" si="17"/>
        <v>43031863</v>
      </c>
      <c r="X191" s="26">
        <f t="shared" si="17"/>
        <v>0</v>
      </c>
      <c r="Y191" s="26">
        <f t="shared" si="17"/>
        <v>845977</v>
      </c>
      <c r="Z191" s="26">
        <f t="shared" si="17"/>
        <v>-6659536</v>
      </c>
      <c r="AA191" s="26">
        <f t="shared" si="17"/>
        <v>108193000</v>
      </c>
      <c r="AB191" s="26">
        <f t="shared" si="17"/>
        <v>-2378279</v>
      </c>
    </row>
    <row r="192" spans="1:28" x14ac:dyDescent="0.2">
      <c r="A192" s="554"/>
      <c r="B192" s="25"/>
      <c r="E192" s="550"/>
      <c r="H192" s="3"/>
      <c r="I192" s="3"/>
      <c r="J192" s="3"/>
      <c r="K192" s="3"/>
      <c r="L192" s="3"/>
      <c r="M192" s="3"/>
      <c r="N192" s="3"/>
      <c r="O192" s="3"/>
      <c r="P192" s="3"/>
      <c r="Q192" s="3"/>
      <c r="R192" s="3"/>
      <c r="S192" s="3"/>
      <c r="T192" s="3"/>
      <c r="U192" s="3"/>
      <c r="V192" s="3"/>
      <c r="W192" s="3"/>
      <c r="X192" s="3"/>
      <c r="Y192" s="3"/>
      <c r="Z192" s="3"/>
      <c r="AA192" s="3"/>
      <c r="AB192" s="3"/>
    </row>
    <row r="193" spans="1:28" x14ac:dyDescent="0.2">
      <c r="A193" s="547" t="s">
        <v>465</v>
      </c>
      <c r="B193" s="554"/>
      <c r="E193" s="550"/>
      <c r="H193" s="3"/>
      <c r="I193" s="3"/>
      <c r="J193" s="3"/>
      <c r="K193" s="3"/>
      <c r="L193" s="3"/>
      <c r="M193" s="3"/>
      <c r="N193" s="3"/>
      <c r="O193" s="3"/>
      <c r="P193" s="3"/>
      <c r="Q193" s="3"/>
      <c r="R193" s="3"/>
      <c r="S193" s="3"/>
      <c r="T193" s="3"/>
      <c r="U193" s="3"/>
      <c r="V193" s="3"/>
      <c r="W193" s="3"/>
      <c r="X193" s="3"/>
      <c r="Y193" s="3"/>
      <c r="Z193" s="3"/>
      <c r="AA193" s="3"/>
      <c r="AB193" s="3"/>
    </row>
    <row r="194" spans="1:28" x14ac:dyDescent="0.2">
      <c r="A194" s="13" t="s">
        <v>540</v>
      </c>
      <c r="E194" s="550"/>
      <c r="H194" s="3"/>
      <c r="I194" s="3"/>
      <c r="J194" s="3"/>
      <c r="K194" s="3"/>
      <c r="L194" s="3"/>
      <c r="M194" s="3"/>
      <c r="N194" s="3"/>
      <c r="O194" s="3"/>
      <c r="P194" s="3"/>
      <c r="Q194" s="3"/>
      <c r="R194" s="3"/>
      <c r="S194" s="3"/>
      <c r="T194" s="3"/>
      <c r="U194" s="3"/>
      <c r="V194" s="3"/>
      <c r="W194" s="3"/>
      <c r="X194" s="3"/>
      <c r="Y194" s="3"/>
      <c r="Z194" s="3"/>
      <c r="AA194" s="3"/>
      <c r="AB194" s="3"/>
    </row>
    <row r="195" spans="1:28" x14ac:dyDescent="0.2">
      <c r="A195" s="13" t="s">
        <v>275</v>
      </c>
      <c r="B195" s="554"/>
      <c r="E195" s="550"/>
      <c r="H195" s="3"/>
      <c r="I195" s="3"/>
      <c r="J195" s="3"/>
      <c r="K195" s="3"/>
      <c r="L195" s="3"/>
      <c r="M195" s="3"/>
      <c r="N195" s="3"/>
      <c r="O195" s="3"/>
      <c r="P195" s="3"/>
      <c r="Q195" s="3"/>
      <c r="R195" s="3"/>
      <c r="S195" s="3"/>
      <c r="T195" s="3"/>
      <c r="U195" s="3"/>
      <c r="V195" s="3"/>
      <c r="W195" s="3"/>
      <c r="X195" s="3"/>
      <c r="Y195" s="3"/>
      <c r="Z195" s="3"/>
      <c r="AA195" s="3"/>
      <c r="AB195" s="3"/>
    </row>
    <row r="196" spans="1:28" x14ac:dyDescent="0.2">
      <c r="A196" s="554"/>
      <c r="B196" s="23" t="s">
        <v>1023</v>
      </c>
      <c r="C196" s="13"/>
      <c r="D196" s="13"/>
      <c r="E196" s="557"/>
      <c r="G196" s="197"/>
      <c r="H196" s="197"/>
      <c r="I196" s="197"/>
      <c r="J196" s="197"/>
      <c r="K196" s="197"/>
      <c r="L196" s="197"/>
      <c r="M196" s="197"/>
      <c r="N196" s="197"/>
      <c r="O196" s="197"/>
      <c r="P196" s="197"/>
      <c r="Q196" s="197"/>
      <c r="R196" s="197"/>
      <c r="S196" s="197"/>
      <c r="T196" s="197"/>
      <c r="U196" s="197"/>
      <c r="V196" s="197"/>
      <c r="W196" s="197"/>
      <c r="X196" s="197"/>
      <c r="Y196" s="197"/>
      <c r="Z196" s="197"/>
      <c r="AA196" s="197"/>
      <c r="AB196" s="197"/>
    </row>
    <row r="197" spans="1:28" x14ac:dyDescent="0.2">
      <c r="A197" s="554"/>
      <c r="B197" s="23" t="s">
        <v>1024</v>
      </c>
      <c r="C197" s="13"/>
      <c r="D197" s="13"/>
      <c r="E197" s="557"/>
      <c r="G197" s="197"/>
      <c r="H197" s="197"/>
      <c r="I197" s="197"/>
      <c r="J197" s="197"/>
      <c r="K197" s="197"/>
      <c r="L197" s="197"/>
      <c r="M197" s="197"/>
      <c r="N197" s="197"/>
      <c r="O197" s="197"/>
      <c r="P197" s="197"/>
      <c r="Q197" s="197"/>
      <c r="R197" s="197"/>
      <c r="S197" s="197"/>
      <c r="T197" s="197"/>
      <c r="U197" s="197"/>
      <c r="V197" s="197"/>
      <c r="W197" s="197"/>
      <c r="X197" s="197"/>
      <c r="Y197" s="197"/>
      <c r="Z197" s="197"/>
      <c r="AA197" s="197"/>
      <c r="AB197" s="197"/>
    </row>
    <row r="198" spans="1:28" x14ac:dyDescent="0.2">
      <c r="A198" s="554"/>
      <c r="B198" s="23" t="s">
        <v>1025</v>
      </c>
      <c r="C198" s="13"/>
      <c r="D198" s="13"/>
      <c r="E198" s="557"/>
      <c r="G198" s="197"/>
      <c r="H198" s="197"/>
      <c r="I198" s="197"/>
      <c r="J198" s="197"/>
      <c r="K198" s="197"/>
      <c r="L198" s="197"/>
      <c r="M198" s="197"/>
      <c r="N198" s="197"/>
      <c r="O198" s="197"/>
      <c r="P198" s="197"/>
      <c r="Q198" s="197"/>
      <c r="R198" s="197"/>
      <c r="S198" s="197"/>
      <c r="T198" s="197"/>
      <c r="U198" s="197"/>
      <c r="V198" s="197"/>
      <c r="W198" s="197"/>
      <c r="X198" s="197"/>
      <c r="Y198" s="197"/>
      <c r="Z198" s="197"/>
      <c r="AA198" s="197"/>
      <c r="AB198" s="197"/>
    </row>
    <row r="199" spans="1:28" x14ac:dyDescent="0.2">
      <c r="A199" s="554"/>
      <c r="B199" s="23" t="s">
        <v>1026</v>
      </c>
      <c r="C199" s="13"/>
      <c r="D199" s="13"/>
      <c r="E199" s="557"/>
      <c r="G199" s="197"/>
      <c r="H199" s="197"/>
      <c r="I199" s="197"/>
      <c r="J199" s="197"/>
      <c r="K199" s="197"/>
      <c r="L199" s="197"/>
      <c r="M199" s="197"/>
      <c r="N199" s="197"/>
      <c r="O199" s="197"/>
      <c r="P199" s="197"/>
      <c r="Q199" s="197"/>
      <c r="R199" s="197"/>
      <c r="S199" s="197"/>
      <c r="T199" s="197"/>
      <c r="U199" s="197"/>
      <c r="V199" s="197"/>
      <c r="W199" s="197"/>
      <c r="X199" s="197"/>
      <c r="Y199" s="197"/>
      <c r="Z199" s="197"/>
      <c r="AA199" s="197"/>
      <c r="AB199" s="197"/>
    </row>
    <row r="200" spans="1:28" x14ac:dyDescent="0.2">
      <c r="A200" s="554"/>
      <c r="B200" s="13" t="s">
        <v>482</v>
      </c>
      <c r="C200" s="13"/>
      <c r="D200" s="13"/>
      <c r="E200" s="557"/>
      <c r="G200" s="197"/>
      <c r="H200" s="197"/>
      <c r="I200" s="197"/>
      <c r="J200" s="197"/>
      <c r="K200" s="197"/>
      <c r="L200" s="197"/>
      <c r="M200" s="197"/>
      <c r="N200" s="197"/>
      <c r="O200" s="197"/>
      <c r="P200" s="197"/>
      <c r="Q200" s="197"/>
      <c r="R200" s="197"/>
      <c r="S200" s="197"/>
      <c r="T200" s="197"/>
      <c r="U200" s="197"/>
      <c r="V200" s="197"/>
      <c r="W200" s="197"/>
      <c r="X200" s="197"/>
      <c r="Y200" s="197"/>
      <c r="Z200" s="197"/>
      <c r="AA200" s="197"/>
      <c r="AB200" s="197"/>
    </row>
    <row r="201" spans="1:28" x14ac:dyDescent="0.2">
      <c r="A201" s="13" t="s">
        <v>533</v>
      </c>
      <c r="B201" s="13"/>
      <c r="E201" s="557"/>
      <c r="G201" s="197"/>
      <c r="H201" s="197"/>
      <c r="I201" s="197"/>
      <c r="J201" s="197"/>
      <c r="K201" s="197"/>
      <c r="L201" s="197"/>
      <c r="M201" s="197"/>
      <c r="N201" s="197"/>
      <c r="O201" s="197"/>
      <c r="P201" s="197"/>
      <c r="Q201" s="197"/>
      <c r="R201" s="197"/>
      <c r="S201" s="197"/>
      <c r="T201" s="197"/>
      <c r="U201" s="197"/>
      <c r="V201" s="197"/>
      <c r="W201" s="197"/>
      <c r="X201" s="197"/>
      <c r="Y201" s="197"/>
      <c r="Z201" s="197"/>
      <c r="AA201" s="197"/>
      <c r="AB201" s="197"/>
    </row>
    <row r="202" spans="1:28" x14ac:dyDescent="0.2">
      <c r="A202" s="13" t="s">
        <v>208</v>
      </c>
      <c r="B202" s="13"/>
      <c r="E202" s="550"/>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row>
    <row r="203" spans="1:28" x14ac:dyDescent="0.2">
      <c r="A203" s="554"/>
      <c r="B203" s="13" t="s">
        <v>276</v>
      </c>
      <c r="E203" s="557"/>
      <c r="G203" s="197"/>
      <c r="H203" s="197"/>
      <c r="I203" s="197"/>
      <c r="J203" s="197"/>
      <c r="K203" s="197"/>
      <c r="L203" s="197"/>
      <c r="M203" s="197"/>
      <c r="N203" s="197"/>
      <c r="O203" s="197"/>
      <c r="P203" s="197"/>
      <c r="Q203" s="197"/>
      <c r="R203" s="197"/>
      <c r="S203" s="197"/>
      <c r="T203" s="197"/>
      <c r="U203" s="197"/>
      <c r="V203" s="197"/>
      <c r="W203" s="197"/>
      <c r="X203" s="197"/>
      <c r="Y203" s="197"/>
      <c r="Z203" s="197"/>
      <c r="AA203" s="197"/>
      <c r="AB203" s="197"/>
    </row>
    <row r="204" spans="1:28" x14ac:dyDescent="0.2">
      <c r="A204" s="554"/>
      <c r="B204" s="13" t="s">
        <v>277</v>
      </c>
      <c r="E204" s="557"/>
      <c r="G204" s="197"/>
      <c r="H204" s="197"/>
      <c r="I204" s="197"/>
      <c r="J204" s="197"/>
      <c r="K204" s="197"/>
      <c r="L204" s="197"/>
      <c r="M204" s="197"/>
      <c r="N204" s="197"/>
      <c r="O204" s="197"/>
      <c r="P204" s="197"/>
      <c r="Q204" s="197"/>
      <c r="R204" s="197"/>
      <c r="S204" s="197"/>
      <c r="T204" s="197"/>
      <c r="U204" s="197"/>
      <c r="V204" s="197"/>
      <c r="W204" s="197"/>
      <c r="X204" s="197"/>
      <c r="Y204" s="197"/>
      <c r="Z204" s="197"/>
      <c r="AA204" s="197"/>
      <c r="AB204" s="197"/>
    </row>
    <row r="205" spans="1:28" x14ac:dyDescent="0.2">
      <c r="A205" s="554"/>
      <c r="B205" s="13" t="s">
        <v>278</v>
      </c>
      <c r="E205" s="557"/>
      <c r="G205" s="197"/>
      <c r="H205" s="197"/>
      <c r="I205" s="197"/>
      <c r="J205" s="197"/>
      <c r="K205" s="197"/>
      <c r="L205" s="197"/>
      <c r="M205" s="197"/>
      <c r="N205" s="197"/>
      <c r="O205" s="197"/>
      <c r="P205" s="197"/>
      <c r="Q205" s="197"/>
      <c r="R205" s="197"/>
      <c r="S205" s="197"/>
      <c r="T205" s="197"/>
      <c r="U205" s="197"/>
      <c r="V205" s="197"/>
      <c r="W205" s="197"/>
      <c r="X205" s="197"/>
      <c r="Y205" s="197"/>
      <c r="Z205" s="197"/>
      <c r="AA205" s="197"/>
      <c r="AB205" s="197"/>
    </row>
    <row r="206" spans="1:28" x14ac:dyDescent="0.2">
      <c r="A206" s="554"/>
      <c r="B206" s="13" t="s">
        <v>534</v>
      </c>
      <c r="E206" s="557"/>
      <c r="G206" s="197"/>
      <c r="H206" s="197"/>
      <c r="I206" s="197"/>
      <c r="J206" s="197"/>
      <c r="K206" s="197"/>
      <c r="L206" s="197"/>
      <c r="M206" s="197"/>
      <c r="N206" s="197"/>
      <c r="O206" s="197"/>
      <c r="P206" s="197"/>
      <c r="Q206" s="197"/>
      <c r="R206" s="197"/>
      <c r="S206" s="197"/>
      <c r="T206" s="197"/>
      <c r="U206" s="197"/>
      <c r="V206" s="197"/>
      <c r="W206" s="197"/>
      <c r="X206" s="197"/>
      <c r="Y206" s="197"/>
      <c r="Z206" s="197"/>
      <c r="AA206" s="197"/>
      <c r="AB206" s="197"/>
    </row>
    <row r="207" spans="1:28" x14ac:dyDescent="0.2">
      <c r="A207" s="554"/>
      <c r="B207" s="13"/>
      <c r="E207" s="550"/>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row>
    <row r="208" spans="1:28" x14ac:dyDescent="0.2">
      <c r="A208" s="24" t="s">
        <v>536</v>
      </c>
      <c r="B208" s="13"/>
      <c r="E208" s="559"/>
      <c r="G208" s="195"/>
      <c r="H208" s="812">
        <v>792673</v>
      </c>
      <c r="I208" s="812">
        <v>6100022</v>
      </c>
      <c r="J208" s="812">
        <v>116905</v>
      </c>
      <c r="K208" s="812">
        <v>0</v>
      </c>
      <c r="L208" s="812">
        <v>2197336</v>
      </c>
      <c r="M208" s="812">
        <v>0</v>
      </c>
      <c r="N208" s="812">
        <v>721367</v>
      </c>
      <c r="O208" s="812">
        <v>0</v>
      </c>
      <c r="P208" s="812">
        <v>7691212</v>
      </c>
      <c r="Q208" s="812">
        <v>0</v>
      </c>
      <c r="R208" s="812">
        <v>19272</v>
      </c>
      <c r="S208" s="812">
        <v>236952</v>
      </c>
      <c r="T208" s="812">
        <v>0</v>
      </c>
      <c r="U208" s="812">
        <v>0</v>
      </c>
      <c r="V208" s="812">
        <v>35512211</v>
      </c>
      <c r="W208" s="812">
        <v>322224</v>
      </c>
      <c r="X208" s="812">
        <v>0</v>
      </c>
      <c r="Y208" s="812">
        <v>0</v>
      </c>
      <c r="Z208" s="812">
        <v>0</v>
      </c>
      <c r="AA208" s="812">
        <v>11979000</v>
      </c>
      <c r="AB208" s="812">
        <v>5109822</v>
      </c>
    </row>
    <row r="209" spans="1:28" x14ac:dyDescent="0.2">
      <c r="A209" s="24" t="s">
        <v>537</v>
      </c>
      <c r="B209" s="556"/>
      <c r="E209" s="550"/>
      <c r="G209" s="195"/>
      <c r="H209" s="812">
        <v>3198331</v>
      </c>
      <c r="I209" s="812">
        <v>8294985</v>
      </c>
      <c r="J209" s="812">
        <v>5302711</v>
      </c>
      <c r="K209" s="812">
        <v>0</v>
      </c>
      <c r="L209" s="812">
        <v>3092340</v>
      </c>
      <c r="M209" s="812">
        <v>-8705477</v>
      </c>
      <c r="N209" s="812">
        <v>73397</v>
      </c>
      <c r="O209" s="812">
        <v>0</v>
      </c>
      <c r="P209" s="812">
        <v>-11677877</v>
      </c>
      <c r="Q209" s="812">
        <v>-15385838</v>
      </c>
      <c r="R209" s="812">
        <v>4923</v>
      </c>
      <c r="S209" s="812">
        <v>1121789</v>
      </c>
      <c r="T209" s="812">
        <v>0</v>
      </c>
      <c r="U209" s="812">
        <v>0</v>
      </c>
      <c r="V209" s="812">
        <v>62818314</v>
      </c>
      <c r="W209" s="812">
        <v>10803659</v>
      </c>
      <c r="X209" s="812">
        <v>0</v>
      </c>
      <c r="Y209" s="812">
        <v>2497164</v>
      </c>
      <c r="Z209" s="812">
        <v>45909707</v>
      </c>
      <c r="AA209" s="812">
        <v>33358000</v>
      </c>
      <c r="AB209" s="812">
        <v>3752676</v>
      </c>
    </row>
    <row r="210" spans="1:28" x14ac:dyDescent="0.2">
      <c r="A210" s="24" t="s">
        <v>538</v>
      </c>
      <c r="B210" s="556"/>
      <c r="E210" s="550"/>
      <c r="G210" s="195"/>
      <c r="H210" s="812">
        <v>336745</v>
      </c>
      <c r="I210" s="812">
        <v>5011908</v>
      </c>
      <c r="J210" s="812">
        <v>7458819</v>
      </c>
      <c r="K210" s="812">
        <v>0</v>
      </c>
      <c r="L210" s="812">
        <v>1131576</v>
      </c>
      <c r="M210" s="812">
        <v>1592868</v>
      </c>
      <c r="N210" s="812">
        <v>589686</v>
      </c>
      <c r="O210" s="812">
        <v>0</v>
      </c>
      <c r="P210" s="812">
        <v>0</v>
      </c>
      <c r="Q210" s="812">
        <v>0</v>
      </c>
      <c r="R210" s="812">
        <v>0</v>
      </c>
      <c r="S210" s="812">
        <v>1211214</v>
      </c>
      <c r="T210" s="812">
        <v>0</v>
      </c>
      <c r="U210" s="812">
        <v>0</v>
      </c>
      <c r="V210" s="812">
        <v>98742539</v>
      </c>
      <c r="W210" s="1126">
        <f>909586+33327</f>
        <v>942913</v>
      </c>
      <c r="X210" s="812">
        <v>0</v>
      </c>
      <c r="Y210" s="812">
        <v>0</v>
      </c>
      <c r="Z210" s="812">
        <v>0</v>
      </c>
      <c r="AA210" s="812">
        <v>15784000</v>
      </c>
      <c r="AB210" s="812">
        <v>9667</v>
      </c>
    </row>
    <row r="211" spans="1:28" x14ac:dyDescent="0.2">
      <c r="A211" s="13" t="s">
        <v>539</v>
      </c>
      <c r="B211" s="556"/>
      <c r="E211" s="549"/>
      <c r="G211" s="195"/>
      <c r="H211" s="812">
        <v>0</v>
      </c>
      <c r="I211" s="812">
        <v>8805</v>
      </c>
      <c r="J211" s="1120">
        <f>0+173236</f>
        <v>173236</v>
      </c>
      <c r="K211" s="812">
        <v>0</v>
      </c>
      <c r="L211" s="812">
        <v>0</v>
      </c>
      <c r="M211" s="812">
        <v>1148338</v>
      </c>
      <c r="N211" s="812">
        <v>1334436</v>
      </c>
      <c r="O211" s="812">
        <v>0</v>
      </c>
      <c r="P211" s="812">
        <v>730187</v>
      </c>
      <c r="Q211" s="812">
        <v>0</v>
      </c>
      <c r="R211" s="812">
        <v>0</v>
      </c>
      <c r="S211" s="812">
        <v>0</v>
      </c>
      <c r="T211" s="812">
        <v>0</v>
      </c>
      <c r="U211" s="812">
        <v>0</v>
      </c>
      <c r="V211" s="812">
        <v>-15037</v>
      </c>
      <c r="W211" s="812">
        <v>0</v>
      </c>
      <c r="X211" s="812">
        <v>0</v>
      </c>
      <c r="Y211" s="812">
        <v>0</v>
      </c>
      <c r="Z211" s="812">
        <v>0</v>
      </c>
      <c r="AA211" s="812">
        <v>118000</v>
      </c>
      <c r="AB211" s="812">
        <v>0</v>
      </c>
    </row>
    <row r="212" spans="1:28" x14ac:dyDescent="0.2">
      <c r="A212" s="24" t="s">
        <v>1368</v>
      </c>
      <c r="B212" s="556"/>
      <c r="E212" s="559"/>
      <c r="G212" s="195"/>
      <c r="H212" s="812">
        <v>2058508</v>
      </c>
      <c r="I212" s="812">
        <v>24757990</v>
      </c>
      <c r="J212" s="812">
        <v>30962459</v>
      </c>
      <c r="K212" s="812">
        <v>0</v>
      </c>
      <c r="L212" s="812">
        <v>4813106</v>
      </c>
      <c r="M212" s="812">
        <v>5683951</v>
      </c>
      <c r="N212" s="812">
        <v>40810257</v>
      </c>
      <c r="O212" s="812">
        <v>0</v>
      </c>
      <c r="P212" s="812">
        <v>10552636</v>
      </c>
      <c r="Q212" s="812">
        <v>3023473</v>
      </c>
      <c r="R212" s="812">
        <v>1005</v>
      </c>
      <c r="S212" s="812">
        <v>1288228</v>
      </c>
      <c r="T212" s="812">
        <v>0</v>
      </c>
      <c r="U212" s="812">
        <v>0</v>
      </c>
      <c r="V212" s="812">
        <v>73064587</v>
      </c>
      <c r="W212" s="812">
        <v>28605452</v>
      </c>
      <c r="X212" s="812">
        <v>0</v>
      </c>
      <c r="Y212" s="812">
        <v>9833872</v>
      </c>
      <c r="Z212" s="812">
        <v>8454531</v>
      </c>
      <c r="AA212" s="812">
        <v>40471000</v>
      </c>
      <c r="AB212" s="812">
        <v>0</v>
      </c>
    </row>
    <row r="213" spans="1:28" x14ac:dyDescent="0.2">
      <c r="A213" s="24"/>
      <c r="B213" s="556"/>
      <c r="E213" s="550"/>
      <c r="G213" s="197"/>
      <c r="H213" s="197"/>
      <c r="I213" s="197"/>
      <c r="J213" s="197"/>
      <c r="K213" s="197"/>
      <c r="L213" s="197"/>
      <c r="M213" s="197"/>
      <c r="N213" s="197"/>
      <c r="O213" s="197"/>
      <c r="P213" s="197"/>
      <c r="Q213" s="197"/>
      <c r="R213" s="197"/>
      <c r="S213" s="197"/>
      <c r="T213" s="197"/>
      <c r="U213" s="197"/>
      <c r="V213" s="197"/>
      <c r="W213" s="197"/>
      <c r="X213" s="197"/>
      <c r="Y213" s="197"/>
      <c r="Z213" s="197"/>
      <c r="AA213" s="197"/>
      <c r="AB213" s="197"/>
    </row>
    <row r="214" spans="1:28" x14ac:dyDescent="0.2">
      <c r="A214" s="24"/>
      <c r="B214" s="556"/>
      <c r="E214" s="550"/>
      <c r="G214" s="27"/>
      <c r="H214" s="27"/>
      <c r="I214" s="27"/>
      <c r="J214" s="27"/>
      <c r="K214" s="27"/>
      <c r="L214" s="27"/>
      <c r="M214" s="27"/>
      <c r="N214" s="27"/>
      <c r="O214" s="27"/>
      <c r="P214" s="27"/>
      <c r="Q214" s="27"/>
      <c r="R214" s="27"/>
      <c r="S214" s="27"/>
      <c r="T214" s="27"/>
      <c r="U214" s="27"/>
      <c r="V214" s="27"/>
      <c r="W214" s="27"/>
      <c r="X214" s="27"/>
      <c r="Y214" s="27"/>
      <c r="Z214" s="27"/>
      <c r="AA214" s="27"/>
      <c r="AB214" s="27"/>
    </row>
    <row r="215" spans="1:28" x14ac:dyDescent="0.2">
      <c r="A215" s="24"/>
      <c r="B215" s="556"/>
      <c r="E215" s="550"/>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x14ac:dyDescent="0.2">
      <c r="A216" s="13" t="s">
        <v>124</v>
      </c>
      <c r="B216" s="556"/>
      <c r="E216" s="550"/>
      <c r="G216" s="195"/>
      <c r="H216" s="812">
        <v>10028738</v>
      </c>
      <c r="I216" s="812">
        <v>4925077</v>
      </c>
      <c r="J216" s="812">
        <v>0</v>
      </c>
      <c r="K216" s="812">
        <v>0</v>
      </c>
      <c r="L216" s="812">
        <v>5024104</v>
      </c>
      <c r="M216" s="812">
        <v>0</v>
      </c>
      <c r="N216" s="812">
        <v>0</v>
      </c>
      <c r="O216" s="812">
        <v>0</v>
      </c>
      <c r="P216" s="812">
        <v>0</v>
      </c>
      <c r="Q216" s="812">
        <v>0</v>
      </c>
      <c r="R216" s="812">
        <v>0</v>
      </c>
      <c r="S216" s="812">
        <v>1747458</v>
      </c>
      <c r="T216" s="812">
        <v>0</v>
      </c>
      <c r="U216" s="812">
        <v>0</v>
      </c>
      <c r="V216" s="812">
        <v>79584976</v>
      </c>
      <c r="W216" s="812">
        <v>0</v>
      </c>
      <c r="X216" s="812">
        <v>0</v>
      </c>
      <c r="Y216" s="812">
        <v>8728453</v>
      </c>
      <c r="Z216" s="812">
        <v>0</v>
      </c>
      <c r="AA216" s="812">
        <v>27475000</v>
      </c>
      <c r="AB216" s="812">
        <v>0</v>
      </c>
    </row>
    <row r="217" spans="1:28" x14ac:dyDescent="0.2">
      <c r="A217" s="13" t="s">
        <v>125</v>
      </c>
      <c r="B217" s="556"/>
      <c r="E217" s="550"/>
      <c r="G217" s="195"/>
      <c r="H217" s="812">
        <v>0</v>
      </c>
      <c r="I217" s="812">
        <v>0</v>
      </c>
      <c r="J217" s="812">
        <v>0</v>
      </c>
      <c r="K217" s="812">
        <v>0</v>
      </c>
      <c r="L217" s="812">
        <v>0</v>
      </c>
      <c r="M217" s="812">
        <v>0</v>
      </c>
      <c r="N217" s="812">
        <v>0</v>
      </c>
      <c r="O217" s="812">
        <v>0</v>
      </c>
      <c r="P217" s="812">
        <v>0</v>
      </c>
      <c r="Q217" s="812">
        <v>0</v>
      </c>
      <c r="R217" s="812">
        <v>0</v>
      </c>
      <c r="S217" s="812">
        <v>0</v>
      </c>
      <c r="T217" s="812">
        <v>0</v>
      </c>
      <c r="U217" s="812">
        <v>0</v>
      </c>
      <c r="V217" s="812">
        <v>0</v>
      </c>
      <c r="W217" s="812">
        <v>0</v>
      </c>
      <c r="X217" s="812">
        <v>0</v>
      </c>
      <c r="Y217" s="812">
        <v>1173748</v>
      </c>
      <c r="Z217" s="812">
        <v>0</v>
      </c>
      <c r="AA217" s="812">
        <v>0</v>
      </c>
      <c r="AB217" s="812">
        <v>0</v>
      </c>
    </row>
    <row r="218" spans="1:28" x14ac:dyDescent="0.2">
      <c r="A218" s="13" t="s">
        <v>126</v>
      </c>
      <c r="B218" s="556"/>
      <c r="E218" s="550"/>
      <c r="G218" s="195"/>
      <c r="H218" s="812">
        <v>-6535359</v>
      </c>
      <c r="I218" s="812">
        <v>-52039678</v>
      </c>
      <c r="J218" s="812">
        <v>0</v>
      </c>
      <c r="K218" s="812">
        <v>0</v>
      </c>
      <c r="L218" s="812">
        <v>0</v>
      </c>
      <c r="M218" s="812">
        <v>0</v>
      </c>
      <c r="N218" s="812">
        <v>0</v>
      </c>
      <c r="O218" s="812">
        <v>0</v>
      </c>
      <c r="P218" s="812">
        <v>0</v>
      </c>
      <c r="Q218" s="812">
        <v>0</v>
      </c>
      <c r="R218" s="812">
        <v>0</v>
      </c>
      <c r="S218" s="812">
        <v>-3882144</v>
      </c>
      <c r="T218" s="812">
        <v>0</v>
      </c>
      <c r="U218" s="812">
        <v>0</v>
      </c>
      <c r="V218" s="812">
        <v>-140435960</v>
      </c>
      <c r="W218" s="812">
        <v>0</v>
      </c>
      <c r="X218" s="812">
        <v>0</v>
      </c>
      <c r="Y218" s="812">
        <v>-19510924</v>
      </c>
      <c r="Z218" s="812">
        <v>0</v>
      </c>
      <c r="AA218" s="812">
        <v>-115616000</v>
      </c>
      <c r="AB218" s="812">
        <v>0</v>
      </c>
    </row>
    <row r="219" spans="1:28" x14ac:dyDescent="0.2">
      <c r="A219" s="13" t="s">
        <v>519</v>
      </c>
      <c r="B219" s="556"/>
      <c r="E219" s="550"/>
      <c r="G219" s="195"/>
      <c r="H219" s="812">
        <v>0</v>
      </c>
      <c r="I219" s="812">
        <v>0</v>
      </c>
      <c r="J219" s="812">
        <v>0</v>
      </c>
      <c r="K219" s="812">
        <v>0</v>
      </c>
      <c r="L219" s="812">
        <v>0</v>
      </c>
      <c r="M219" s="812">
        <v>0</v>
      </c>
      <c r="N219" s="812">
        <v>0</v>
      </c>
      <c r="O219" s="812">
        <v>0</v>
      </c>
      <c r="P219" s="812">
        <v>0</v>
      </c>
      <c r="Q219" s="812">
        <v>0</v>
      </c>
      <c r="R219" s="812">
        <v>0</v>
      </c>
      <c r="S219" s="812">
        <v>0</v>
      </c>
      <c r="T219" s="812">
        <v>0</v>
      </c>
      <c r="U219" s="812">
        <v>0</v>
      </c>
      <c r="V219" s="812">
        <v>0</v>
      </c>
      <c r="W219" s="812">
        <v>0</v>
      </c>
      <c r="X219" s="812">
        <v>0</v>
      </c>
      <c r="Y219" s="812">
        <v>-1173748</v>
      </c>
      <c r="Z219" s="812">
        <v>0</v>
      </c>
      <c r="AA219" s="812">
        <v>0</v>
      </c>
      <c r="AB219" s="812">
        <v>0</v>
      </c>
    </row>
    <row r="220" spans="1:28" x14ac:dyDescent="0.2">
      <c r="A220" s="13"/>
      <c r="B220" s="556"/>
      <c r="E220" s="550"/>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row>
    <row r="221" spans="1:28" x14ac:dyDescent="0.2">
      <c r="A221" s="13" t="s">
        <v>67</v>
      </c>
      <c r="B221" s="556"/>
      <c r="E221" s="549"/>
      <c r="G221" s="197"/>
      <c r="H221" s="197"/>
      <c r="I221" s="197"/>
      <c r="J221" s="197"/>
      <c r="K221" s="197"/>
      <c r="L221" s="197"/>
      <c r="M221" s="197"/>
      <c r="N221" s="197"/>
      <c r="O221" s="197"/>
      <c r="P221" s="197"/>
      <c r="Q221" s="197"/>
      <c r="R221" s="197"/>
      <c r="S221" s="197"/>
      <c r="T221" s="197"/>
      <c r="U221" s="197"/>
      <c r="V221" s="197"/>
      <c r="W221" s="197"/>
      <c r="X221" s="197"/>
      <c r="Y221" s="197"/>
      <c r="Z221" s="197"/>
      <c r="AA221" s="197"/>
      <c r="AB221" s="197"/>
    </row>
    <row r="222" spans="1:28" x14ac:dyDescent="0.2">
      <c r="A222" s="13" t="s">
        <v>743</v>
      </c>
      <c r="B222" s="556"/>
      <c r="E222" s="549"/>
      <c r="G222" s="197"/>
      <c r="H222" s="197"/>
      <c r="I222" s="197"/>
      <c r="J222" s="197"/>
      <c r="K222" s="197"/>
      <c r="L222" s="197"/>
      <c r="M222" s="197"/>
      <c r="N222" s="197"/>
      <c r="O222" s="197"/>
      <c r="P222" s="197"/>
      <c r="Q222" s="197"/>
      <c r="R222" s="197"/>
      <c r="S222" s="197"/>
      <c r="T222" s="197"/>
      <c r="U222" s="197"/>
      <c r="V222" s="197"/>
      <c r="W222" s="197"/>
      <c r="X222" s="197"/>
      <c r="Y222" s="197"/>
      <c r="Z222" s="197"/>
      <c r="AA222" s="197"/>
      <c r="AB222" s="197"/>
    </row>
    <row r="223" spans="1:28" x14ac:dyDescent="0.2">
      <c r="A223" s="13"/>
      <c r="B223" s="556"/>
      <c r="E223" s="550"/>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row>
    <row r="224" spans="1:28" x14ac:dyDescent="0.2">
      <c r="A224" s="24" t="s">
        <v>460</v>
      </c>
      <c r="B224" s="556"/>
      <c r="E224" s="564"/>
      <c r="G224" s="195"/>
      <c r="H224" s="812">
        <v>0</v>
      </c>
      <c r="I224" s="812">
        <v>0</v>
      </c>
      <c r="J224" s="812">
        <v>0</v>
      </c>
      <c r="K224" s="812">
        <v>0</v>
      </c>
      <c r="L224" s="812">
        <v>0</v>
      </c>
      <c r="M224" s="1120">
        <f>617042-617042</f>
        <v>0</v>
      </c>
      <c r="N224" s="812">
        <v>0</v>
      </c>
      <c r="O224" s="812">
        <v>0</v>
      </c>
      <c r="P224" s="812">
        <v>0</v>
      </c>
      <c r="Q224" s="812">
        <v>0</v>
      </c>
      <c r="R224" s="812">
        <v>0</v>
      </c>
      <c r="S224" s="812">
        <v>0</v>
      </c>
      <c r="T224" s="812">
        <v>0</v>
      </c>
      <c r="U224" s="812">
        <v>0</v>
      </c>
      <c r="V224" s="812">
        <v>0</v>
      </c>
      <c r="W224" s="1126">
        <f>33327-33327</f>
        <v>0</v>
      </c>
      <c r="X224" s="812">
        <v>0</v>
      </c>
      <c r="Y224" s="812">
        <v>0</v>
      </c>
      <c r="Z224" s="812">
        <v>0</v>
      </c>
      <c r="AA224" s="812">
        <v>0</v>
      </c>
      <c r="AB224" s="812">
        <v>0</v>
      </c>
    </row>
    <row r="225" spans="1:30" x14ac:dyDescent="0.2">
      <c r="A225" s="24" t="s">
        <v>459</v>
      </c>
      <c r="B225" s="556"/>
      <c r="E225" s="564"/>
      <c r="G225" s="195"/>
      <c r="H225" s="812">
        <v>0</v>
      </c>
      <c r="I225" s="812">
        <v>0</v>
      </c>
      <c r="J225" s="1120">
        <f>173236-173236</f>
        <v>0</v>
      </c>
      <c r="K225" s="812">
        <v>0</v>
      </c>
      <c r="L225" s="812">
        <v>0</v>
      </c>
      <c r="M225" s="812">
        <v>0</v>
      </c>
      <c r="N225" s="812">
        <v>0</v>
      </c>
      <c r="O225" s="812">
        <v>0</v>
      </c>
      <c r="P225" s="812">
        <v>0</v>
      </c>
      <c r="Q225" s="812">
        <v>0</v>
      </c>
      <c r="R225" s="812">
        <v>0</v>
      </c>
      <c r="S225" s="812">
        <v>0</v>
      </c>
      <c r="T225" s="812">
        <v>0</v>
      </c>
      <c r="U225" s="812">
        <v>0</v>
      </c>
      <c r="V225" s="812">
        <v>0</v>
      </c>
      <c r="W225" s="812">
        <v>0</v>
      </c>
      <c r="X225" s="812">
        <v>0</v>
      </c>
      <c r="Y225" s="812">
        <v>0</v>
      </c>
      <c r="Z225" s="812">
        <v>0</v>
      </c>
      <c r="AA225" s="812">
        <v>0</v>
      </c>
      <c r="AB225" s="812">
        <v>0</v>
      </c>
    </row>
    <row r="226" spans="1:30" x14ac:dyDescent="0.2">
      <c r="A226" s="13" t="s">
        <v>632</v>
      </c>
      <c r="B226" s="13"/>
      <c r="E226" s="550"/>
      <c r="G226" s="26">
        <f>SUM(G194:G225)</f>
        <v>0</v>
      </c>
      <c r="H226" s="26">
        <f t="shared" ref="H226:AB226" si="18">SUM(H194:H225)</f>
        <v>9879636</v>
      </c>
      <c r="I226" s="26">
        <f t="shared" si="18"/>
        <v>-2940891</v>
      </c>
      <c r="J226" s="26">
        <f t="shared" si="18"/>
        <v>44014130</v>
      </c>
      <c r="K226" s="26">
        <f t="shared" si="18"/>
        <v>0</v>
      </c>
      <c r="L226" s="26">
        <f t="shared" si="18"/>
        <v>16258462</v>
      </c>
      <c r="M226" s="26">
        <f t="shared" si="18"/>
        <v>-280320</v>
      </c>
      <c r="N226" s="26">
        <f t="shared" si="18"/>
        <v>43529143</v>
      </c>
      <c r="O226" s="26">
        <f t="shared" si="18"/>
        <v>0</v>
      </c>
      <c r="P226" s="26">
        <f t="shared" si="18"/>
        <v>7296158</v>
      </c>
      <c r="Q226" s="26">
        <f t="shared" si="18"/>
        <v>-12362365</v>
      </c>
      <c r="R226" s="26">
        <f t="shared" si="18"/>
        <v>25200</v>
      </c>
      <c r="S226" s="26">
        <f t="shared" si="18"/>
        <v>1723497</v>
      </c>
      <c r="T226" s="26">
        <f t="shared" si="18"/>
        <v>0</v>
      </c>
      <c r="U226" s="26">
        <f t="shared" si="18"/>
        <v>0</v>
      </c>
      <c r="V226" s="26">
        <f t="shared" si="18"/>
        <v>209271630</v>
      </c>
      <c r="W226" s="26">
        <f t="shared" si="18"/>
        <v>40674248</v>
      </c>
      <c r="X226" s="26">
        <f t="shared" si="18"/>
        <v>0</v>
      </c>
      <c r="Y226" s="26">
        <f t="shared" si="18"/>
        <v>1548565</v>
      </c>
      <c r="Z226" s="26">
        <f t="shared" si="18"/>
        <v>54364238</v>
      </c>
      <c r="AA226" s="26">
        <f t="shared" si="18"/>
        <v>13569000</v>
      </c>
      <c r="AB226" s="26">
        <f t="shared" si="18"/>
        <v>8872165</v>
      </c>
    </row>
    <row r="227" spans="1:30" x14ac:dyDescent="0.2">
      <c r="A227" s="24" t="s">
        <v>863</v>
      </c>
      <c r="B227" s="13"/>
      <c r="E227" s="550"/>
      <c r="G227" s="26">
        <f>SUM(G191,G226)</f>
        <v>0</v>
      </c>
      <c r="H227" s="26">
        <f t="shared" ref="H227:AB227" si="19">SUM(H191,H226)</f>
        <v>3734131</v>
      </c>
      <c r="I227" s="26">
        <f t="shared" si="19"/>
        <v>44563448</v>
      </c>
      <c r="J227" s="26">
        <f t="shared" si="19"/>
        <v>68597735</v>
      </c>
      <c r="K227" s="26">
        <f t="shared" si="19"/>
        <v>0</v>
      </c>
      <c r="L227" s="26">
        <f t="shared" si="19"/>
        <v>9579134</v>
      </c>
      <c r="M227" s="26">
        <f t="shared" si="19"/>
        <v>-21673180</v>
      </c>
      <c r="N227" s="26">
        <f t="shared" si="19"/>
        <v>41595876</v>
      </c>
      <c r="O227" s="26">
        <f t="shared" si="19"/>
        <v>0</v>
      </c>
      <c r="P227" s="26">
        <f t="shared" si="19"/>
        <v>-4259862</v>
      </c>
      <c r="Q227" s="26">
        <f t="shared" si="19"/>
        <v>-36633237</v>
      </c>
      <c r="R227" s="26">
        <f t="shared" si="19"/>
        <v>51320</v>
      </c>
      <c r="S227" s="26">
        <f t="shared" si="19"/>
        <v>3984583</v>
      </c>
      <c r="T227" s="26">
        <f t="shared" si="19"/>
        <v>0</v>
      </c>
      <c r="U227" s="26">
        <f t="shared" si="19"/>
        <v>0</v>
      </c>
      <c r="V227" s="26">
        <f t="shared" si="19"/>
        <v>35349983</v>
      </c>
      <c r="W227" s="26">
        <f t="shared" si="19"/>
        <v>83706111</v>
      </c>
      <c r="X227" s="26">
        <f t="shared" si="19"/>
        <v>0</v>
      </c>
      <c r="Y227" s="26">
        <f t="shared" si="19"/>
        <v>2394542</v>
      </c>
      <c r="Z227" s="26">
        <f t="shared" si="19"/>
        <v>47704702</v>
      </c>
      <c r="AA227" s="26">
        <f t="shared" si="19"/>
        <v>121762000</v>
      </c>
      <c r="AB227" s="26">
        <f t="shared" si="19"/>
        <v>6493886</v>
      </c>
    </row>
    <row r="228" spans="1:30" x14ac:dyDescent="0.2">
      <c r="A228" s="24" t="s">
        <v>858</v>
      </c>
      <c r="B228" s="554"/>
      <c r="E228" s="550"/>
      <c r="G228" s="195"/>
      <c r="H228" s="812">
        <v>85110704</v>
      </c>
      <c r="I228" s="812">
        <v>1318787596</v>
      </c>
      <c r="J228" s="812">
        <v>342679706</v>
      </c>
      <c r="K228" s="812">
        <v>0</v>
      </c>
      <c r="L228" s="812">
        <v>190382376</v>
      </c>
      <c r="M228" s="812">
        <v>104049627</v>
      </c>
      <c r="N228" s="812">
        <v>67263570</v>
      </c>
      <c r="O228" s="1120">
        <f>0+12172680</f>
        <v>12172680</v>
      </c>
      <c r="P228" s="812">
        <v>103824360</v>
      </c>
      <c r="Q228" s="812">
        <v>419159016</v>
      </c>
      <c r="R228" s="812">
        <v>251914</v>
      </c>
      <c r="S228" s="812">
        <v>90989959</v>
      </c>
      <c r="T228" s="812">
        <v>0</v>
      </c>
      <c r="U228" s="812">
        <v>0</v>
      </c>
      <c r="V228" s="812">
        <v>3292993099</v>
      </c>
      <c r="W228" s="812">
        <v>1070630420</v>
      </c>
      <c r="X228" s="812">
        <v>0</v>
      </c>
      <c r="Y228" s="812">
        <v>423114421</v>
      </c>
      <c r="Z228" s="812">
        <v>644430471</v>
      </c>
      <c r="AA228" s="812">
        <v>1715280000</v>
      </c>
      <c r="AB228" s="812">
        <v>21376551</v>
      </c>
      <c r="AD228" s="546" t="s">
        <v>944</v>
      </c>
    </row>
    <row r="229" spans="1:30" ht="13.5" thickBot="1" x14ac:dyDescent="0.25">
      <c r="A229" s="24" t="s">
        <v>859</v>
      </c>
      <c r="B229" s="554"/>
      <c r="E229" s="550"/>
      <c r="G229" s="28">
        <f>IF(SUM(G227:G228)=G173,SUM(G227,G228),"ERROR")</f>
        <v>0</v>
      </c>
      <c r="H229" s="28">
        <f t="shared" ref="H229:AB229" si="20">IF(SUM(H227:H228)=H173,SUM(H227,H228),"ERROR")</f>
        <v>88844835</v>
      </c>
      <c r="I229" s="28">
        <f t="shared" si="20"/>
        <v>1363351044</v>
      </c>
      <c r="J229" s="28">
        <f t="shared" si="20"/>
        <v>411277441</v>
      </c>
      <c r="K229" s="28">
        <f t="shared" si="20"/>
        <v>0</v>
      </c>
      <c r="L229" s="28">
        <f t="shared" si="20"/>
        <v>199961510</v>
      </c>
      <c r="M229" s="28">
        <f t="shared" si="20"/>
        <v>82376447</v>
      </c>
      <c r="N229" s="28">
        <f t="shared" si="20"/>
        <v>108859446</v>
      </c>
      <c r="O229" s="28">
        <f t="shared" si="20"/>
        <v>12172680</v>
      </c>
      <c r="P229" s="28">
        <f t="shared" si="20"/>
        <v>99564498</v>
      </c>
      <c r="Q229" s="28">
        <f t="shared" si="20"/>
        <v>382525779</v>
      </c>
      <c r="R229" s="28">
        <f t="shared" si="20"/>
        <v>303234</v>
      </c>
      <c r="S229" s="28">
        <f t="shared" si="20"/>
        <v>94974542</v>
      </c>
      <c r="T229" s="28">
        <f t="shared" si="20"/>
        <v>0</v>
      </c>
      <c r="U229" s="28">
        <f t="shared" si="20"/>
        <v>0</v>
      </c>
      <c r="V229" s="28">
        <f t="shared" si="20"/>
        <v>3328343082</v>
      </c>
      <c r="W229" s="28">
        <f t="shared" si="20"/>
        <v>1154336531</v>
      </c>
      <c r="X229" s="28">
        <f t="shared" si="20"/>
        <v>0</v>
      </c>
      <c r="Y229" s="28">
        <f t="shared" si="20"/>
        <v>425508963</v>
      </c>
      <c r="Z229" s="28">
        <f t="shared" si="20"/>
        <v>692135173</v>
      </c>
      <c r="AA229" s="28">
        <f t="shared" si="20"/>
        <v>1837042000</v>
      </c>
      <c r="AB229" s="28">
        <f t="shared" si="20"/>
        <v>27870437</v>
      </c>
      <c r="AD229" s="617">
        <f>SUM(H229:AB229)</f>
        <v>10309447642</v>
      </c>
    </row>
    <row r="230" spans="1:30" ht="13.5" thickTop="1" x14ac:dyDescent="0.2">
      <c r="E230" s="550"/>
      <c r="H230" s="3"/>
      <c r="I230" s="3"/>
      <c r="J230" s="3"/>
      <c r="K230" s="3"/>
      <c r="L230" s="3"/>
      <c r="M230" s="3"/>
      <c r="N230" s="3"/>
      <c r="O230" s="3"/>
      <c r="P230" s="3"/>
      <c r="Q230" s="3"/>
      <c r="R230" s="3"/>
      <c r="S230" s="3"/>
      <c r="T230" s="3"/>
      <c r="U230" s="3"/>
      <c r="V230" s="3"/>
      <c r="W230" s="3"/>
      <c r="X230" s="3"/>
      <c r="Y230" s="3"/>
      <c r="Z230" s="3"/>
      <c r="AA230" s="3"/>
      <c r="AB230" s="3"/>
    </row>
    <row r="231" spans="1:30" x14ac:dyDescent="0.2">
      <c r="E231" s="562" t="s">
        <v>946</v>
      </c>
      <c r="G231" s="411">
        <f>SUM(G227:G228)</f>
        <v>0</v>
      </c>
      <c r="H231" s="411">
        <f t="shared" ref="H231:AB231" si="21">SUM(H227:H228)</f>
        <v>88844835</v>
      </c>
      <c r="I231" s="411">
        <f t="shared" si="21"/>
        <v>1363351044</v>
      </c>
      <c r="J231" s="411">
        <f t="shared" si="21"/>
        <v>411277441</v>
      </c>
      <c r="K231" s="411">
        <f t="shared" si="21"/>
        <v>0</v>
      </c>
      <c r="L231" s="411">
        <f t="shared" si="21"/>
        <v>199961510</v>
      </c>
      <c r="M231" s="411">
        <f t="shared" si="21"/>
        <v>82376447</v>
      </c>
      <c r="N231" s="411">
        <f t="shared" si="21"/>
        <v>108859446</v>
      </c>
      <c r="O231" s="411">
        <f t="shared" si="21"/>
        <v>12172680</v>
      </c>
      <c r="P231" s="411">
        <f t="shared" si="21"/>
        <v>99564498</v>
      </c>
      <c r="Q231" s="411">
        <f t="shared" si="21"/>
        <v>382525779</v>
      </c>
      <c r="R231" s="411">
        <f t="shared" si="21"/>
        <v>303234</v>
      </c>
      <c r="S231" s="411">
        <f t="shared" si="21"/>
        <v>94974542</v>
      </c>
      <c r="T231" s="411">
        <f t="shared" si="21"/>
        <v>0</v>
      </c>
      <c r="U231" s="411">
        <f t="shared" si="21"/>
        <v>0</v>
      </c>
      <c r="V231" s="411">
        <f t="shared" si="21"/>
        <v>3328343082</v>
      </c>
      <c r="W231" s="411">
        <f t="shared" si="21"/>
        <v>1154336531</v>
      </c>
      <c r="X231" s="411">
        <f t="shared" si="21"/>
        <v>0</v>
      </c>
      <c r="Y231" s="411">
        <f t="shared" si="21"/>
        <v>425508963</v>
      </c>
      <c r="Z231" s="411">
        <f t="shared" si="21"/>
        <v>692135173</v>
      </c>
      <c r="AA231" s="411">
        <f t="shared" si="21"/>
        <v>1837042000</v>
      </c>
      <c r="AB231" s="411">
        <f t="shared" si="21"/>
        <v>27870437</v>
      </c>
    </row>
    <row r="232" spans="1:30" x14ac:dyDescent="0.2">
      <c r="E232" s="550"/>
      <c r="H232" s="3"/>
      <c r="I232" s="3"/>
      <c r="J232" s="3"/>
      <c r="K232" s="3"/>
      <c r="L232" s="3"/>
      <c r="M232" s="3"/>
      <c r="N232" s="3"/>
      <c r="O232" s="3"/>
      <c r="P232" s="3"/>
      <c r="Q232" s="3"/>
      <c r="R232" s="3"/>
      <c r="S232" s="3"/>
      <c r="T232" s="3"/>
      <c r="U232" s="3"/>
      <c r="V232" s="3"/>
      <c r="W232" s="3"/>
      <c r="X232" s="3"/>
      <c r="Y232" s="3"/>
      <c r="Z232" s="3"/>
      <c r="AA232" s="3"/>
      <c r="AB232" s="3"/>
    </row>
    <row r="233" spans="1:30" ht="23.25" customHeight="1" x14ac:dyDescent="0.2">
      <c r="A233" s="1156" t="s">
        <v>862</v>
      </c>
      <c r="B233" s="1157"/>
      <c r="C233" s="1157"/>
      <c r="D233" s="1157"/>
      <c r="E233" s="1158"/>
      <c r="H233" s="3"/>
      <c r="I233" s="3"/>
      <c r="J233" s="3"/>
      <c r="K233" s="3"/>
      <c r="L233" s="3"/>
      <c r="M233" s="3"/>
      <c r="N233" s="3"/>
      <c r="O233" s="3"/>
      <c r="P233" s="3"/>
      <c r="Q233" s="3"/>
      <c r="R233" s="3"/>
      <c r="S233" s="3"/>
      <c r="T233" s="3"/>
      <c r="U233" s="3"/>
      <c r="V233" s="3"/>
      <c r="W233" s="3"/>
      <c r="X233" s="3"/>
      <c r="Y233" s="3"/>
      <c r="Z233" s="3"/>
      <c r="AA233" s="3"/>
      <c r="AB233" s="3"/>
    </row>
    <row r="234" spans="1:30" x14ac:dyDescent="0.2">
      <c r="E234" s="550"/>
      <c r="H234" s="3"/>
      <c r="I234" s="3"/>
      <c r="J234" s="3"/>
      <c r="K234" s="3"/>
      <c r="L234" s="3"/>
      <c r="M234" s="3"/>
      <c r="N234" s="3"/>
      <c r="O234" s="3"/>
      <c r="P234" s="3"/>
      <c r="Q234" s="3"/>
      <c r="R234" s="3"/>
      <c r="S234" s="3"/>
      <c r="T234" s="3"/>
      <c r="U234" s="3"/>
      <c r="V234" s="3"/>
      <c r="W234" s="3"/>
      <c r="X234" s="3"/>
      <c r="Y234" s="3"/>
      <c r="Z234" s="3"/>
      <c r="AA234" s="3"/>
      <c r="AB234" s="3"/>
    </row>
    <row r="235" spans="1:30" x14ac:dyDescent="0.2">
      <c r="A235" s="551"/>
      <c r="B235" s="551"/>
      <c r="C235" s="551"/>
      <c r="D235" s="551"/>
      <c r="E235" s="565"/>
      <c r="F235" s="552"/>
      <c r="G235" s="412"/>
      <c r="H235" s="412"/>
      <c r="I235" s="412"/>
      <c r="J235" s="412"/>
      <c r="K235" s="412"/>
      <c r="L235" s="412"/>
      <c r="M235" s="412"/>
      <c r="N235" s="412"/>
      <c r="O235" s="412"/>
      <c r="P235" s="412"/>
      <c r="Q235" s="412"/>
      <c r="R235" s="412"/>
      <c r="S235" s="412"/>
      <c r="T235" s="412"/>
      <c r="U235" s="412"/>
      <c r="V235" s="412"/>
      <c r="W235" s="412"/>
      <c r="X235" s="412"/>
      <c r="Y235" s="412"/>
      <c r="Z235" s="412"/>
      <c r="AA235" s="412"/>
      <c r="AB235" s="412"/>
    </row>
    <row r="236" spans="1:30" x14ac:dyDescent="0.2">
      <c r="E236" s="549" t="s">
        <v>217</v>
      </c>
      <c r="H236" s="3"/>
      <c r="I236" s="3"/>
      <c r="J236" s="3"/>
      <c r="K236" s="3"/>
      <c r="L236" s="3"/>
      <c r="M236" s="3"/>
      <c r="N236" s="3"/>
      <c r="O236" s="3"/>
      <c r="P236" s="3"/>
      <c r="Q236" s="3"/>
      <c r="R236" s="3"/>
      <c r="S236" s="3"/>
      <c r="T236" s="3"/>
      <c r="U236" s="3"/>
      <c r="V236" s="3"/>
      <c r="W236" s="3"/>
      <c r="X236" s="3"/>
      <c r="Y236" s="3"/>
      <c r="Z236" s="3"/>
      <c r="AA236" s="3"/>
      <c r="AB236" s="3"/>
    </row>
    <row r="237" spans="1:30" x14ac:dyDescent="0.2">
      <c r="E237" s="713" t="s">
        <v>1589</v>
      </c>
      <c r="G237" s="400">
        <f>SUM(G73,G81)</f>
        <v>0</v>
      </c>
      <c r="H237" s="400">
        <f t="shared" ref="H237:AB237" si="22">SUM(H73,H81)</f>
        <v>114401824</v>
      </c>
      <c r="I237" s="400">
        <f t="shared" si="22"/>
        <v>44604777</v>
      </c>
      <c r="J237" s="400">
        <f t="shared" si="22"/>
        <v>78526923</v>
      </c>
      <c r="K237" s="400">
        <f t="shared" si="22"/>
        <v>0</v>
      </c>
      <c r="L237" s="400">
        <f t="shared" si="22"/>
        <v>3364881</v>
      </c>
      <c r="M237" s="400">
        <f t="shared" si="22"/>
        <v>219549868</v>
      </c>
      <c r="N237" s="400">
        <f t="shared" si="22"/>
        <v>29278478</v>
      </c>
      <c r="O237" s="400">
        <f t="shared" si="22"/>
        <v>0</v>
      </c>
      <c r="P237" s="400">
        <f t="shared" si="22"/>
        <v>19839538</v>
      </c>
      <c r="Q237" s="400">
        <f t="shared" si="22"/>
        <v>39103414</v>
      </c>
      <c r="R237" s="400">
        <f t="shared" si="22"/>
        <v>0</v>
      </c>
      <c r="S237" s="400">
        <f t="shared" si="22"/>
        <v>16886453</v>
      </c>
      <c r="T237" s="400">
        <f t="shared" si="22"/>
        <v>0</v>
      </c>
      <c r="U237" s="400">
        <f t="shared" si="22"/>
        <v>0</v>
      </c>
      <c r="V237" s="400">
        <f t="shared" si="22"/>
        <v>609367384</v>
      </c>
      <c r="W237" s="400">
        <f t="shared" si="22"/>
        <v>135816006</v>
      </c>
      <c r="X237" s="400">
        <f t="shared" si="22"/>
        <v>0</v>
      </c>
      <c r="Y237" s="400">
        <f t="shared" si="22"/>
        <v>75518588</v>
      </c>
      <c r="Z237" s="400">
        <f t="shared" si="22"/>
        <v>52323</v>
      </c>
      <c r="AA237" s="400">
        <f t="shared" si="22"/>
        <v>402252000</v>
      </c>
      <c r="AB237" s="400">
        <f t="shared" si="22"/>
        <v>4828764</v>
      </c>
    </row>
    <row r="238" spans="1:30" x14ac:dyDescent="0.2">
      <c r="E238" s="550"/>
      <c r="H238" s="3"/>
      <c r="I238" s="3"/>
      <c r="J238" s="3"/>
      <c r="K238" s="3"/>
      <c r="L238" s="3"/>
      <c r="M238" s="3"/>
      <c r="N238" s="3"/>
      <c r="O238" s="3"/>
      <c r="P238" s="3"/>
      <c r="Q238" s="3"/>
      <c r="R238" s="3"/>
      <c r="S238" s="3"/>
      <c r="T238" s="3"/>
      <c r="U238" s="3"/>
      <c r="V238" s="3"/>
      <c r="W238" s="3"/>
      <c r="X238" s="3"/>
      <c r="Y238" s="3"/>
      <c r="Z238" s="3"/>
      <c r="AA238" s="3"/>
      <c r="AB238" s="3"/>
    </row>
    <row r="239" spans="1:30" x14ac:dyDescent="0.2">
      <c r="E239" s="557"/>
      <c r="H239" s="3"/>
      <c r="I239" s="3"/>
      <c r="J239" s="3"/>
      <c r="K239" s="3"/>
      <c r="L239" s="3"/>
      <c r="M239" s="3"/>
      <c r="N239" s="3"/>
      <c r="O239" s="3"/>
      <c r="P239" s="3"/>
      <c r="Q239" s="3"/>
      <c r="R239" s="3"/>
      <c r="S239" s="3"/>
      <c r="T239" s="3"/>
      <c r="U239" s="3"/>
      <c r="V239" s="3"/>
      <c r="W239" s="3"/>
      <c r="X239" s="3"/>
      <c r="Y239" s="3"/>
      <c r="Z239" s="3"/>
      <c r="AA239" s="3"/>
      <c r="AB239" s="3"/>
    </row>
    <row r="240" spans="1:30" x14ac:dyDescent="0.2">
      <c r="E240" s="557"/>
      <c r="H240" s="3"/>
      <c r="I240" s="3"/>
      <c r="J240" s="3"/>
      <c r="K240" s="3"/>
      <c r="L240" s="3"/>
      <c r="M240" s="3"/>
      <c r="N240" s="3"/>
      <c r="O240" s="3"/>
      <c r="P240" s="3"/>
      <c r="Q240" s="3"/>
      <c r="R240" s="3"/>
      <c r="S240" s="3"/>
      <c r="T240" s="3"/>
      <c r="U240" s="3"/>
      <c r="V240" s="3"/>
      <c r="W240" s="3"/>
      <c r="X240" s="3"/>
      <c r="Y240" s="3"/>
      <c r="Z240" s="3"/>
      <c r="AA240" s="3"/>
      <c r="AB240" s="3"/>
    </row>
    <row r="241" spans="4:28" x14ac:dyDescent="0.2">
      <c r="E241" s="550"/>
      <c r="H241" s="3"/>
      <c r="I241" s="3"/>
      <c r="J241" s="3"/>
      <c r="K241" s="3"/>
      <c r="L241" s="3"/>
      <c r="M241" s="3"/>
      <c r="N241" s="3"/>
      <c r="O241" s="3"/>
      <c r="P241" s="3"/>
      <c r="Q241" s="3"/>
      <c r="R241" s="3"/>
      <c r="S241" s="3"/>
      <c r="T241" s="3"/>
      <c r="U241" s="3"/>
      <c r="V241" s="3"/>
      <c r="W241" s="3"/>
      <c r="X241" s="3"/>
      <c r="Y241" s="3"/>
      <c r="Z241" s="3"/>
      <c r="AA241" s="3"/>
      <c r="AB241" s="3"/>
    </row>
    <row r="242" spans="4:28" x14ac:dyDescent="0.2">
      <c r="E242" s="550"/>
      <c r="H242" s="3"/>
      <c r="I242" s="3"/>
      <c r="J242" s="3"/>
      <c r="K242" s="3"/>
      <c r="L242" s="3"/>
      <c r="M242" s="3"/>
      <c r="N242" s="3"/>
      <c r="O242" s="3"/>
      <c r="P242" s="3"/>
      <c r="Q242" s="3"/>
      <c r="R242" s="3"/>
      <c r="S242" s="3"/>
      <c r="T242" s="3"/>
      <c r="U242" s="3"/>
      <c r="V242" s="3"/>
      <c r="W242" s="3"/>
      <c r="X242" s="3"/>
      <c r="Y242" s="3"/>
      <c r="Z242" s="3"/>
      <c r="AA242" s="3"/>
      <c r="AB242" s="3"/>
    </row>
    <row r="243" spans="4:28" x14ac:dyDescent="0.2">
      <c r="E243" s="557" t="s">
        <v>132</v>
      </c>
      <c r="H243" s="3"/>
      <c r="I243" s="3"/>
      <c r="J243" s="3"/>
      <c r="K243" s="3"/>
      <c r="L243" s="3"/>
      <c r="M243" s="3"/>
      <c r="N243" s="3"/>
      <c r="O243" s="3"/>
      <c r="P243" s="3"/>
      <c r="Q243" s="3"/>
      <c r="R243" s="3"/>
      <c r="S243" s="3"/>
      <c r="T243" s="3"/>
      <c r="U243" s="3"/>
      <c r="V243" s="3"/>
      <c r="W243" s="3"/>
      <c r="X243" s="3"/>
      <c r="Y243" s="3"/>
      <c r="Z243" s="3"/>
      <c r="AA243" s="3"/>
      <c r="AB243" s="3"/>
    </row>
    <row r="244" spans="4:28" x14ac:dyDescent="0.2">
      <c r="E244" s="557" t="s">
        <v>578</v>
      </c>
      <c r="G244" s="400">
        <f t="shared" ref="G244:AB244" si="23">SUM(G119,G130)</f>
        <v>0</v>
      </c>
      <c r="H244" s="400">
        <f t="shared" si="23"/>
        <v>0</v>
      </c>
      <c r="I244" s="400">
        <f t="shared" si="23"/>
        <v>665266</v>
      </c>
      <c r="J244" s="400">
        <f t="shared" si="23"/>
        <v>0</v>
      </c>
      <c r="K244" s="400">
        <f t="shared" si="23"/>
        <v>0</v>
      </c>
      <c r="L244" s="400">
        <f t="shared" si="23"/>
        <v>0</v>
      </c>
      <c r="M244" s="400">
        <f t="shared" si="23"/>
        <v>0</v>
      </c>
      <c r="N244" s="400">
        <f t="shared" si="23"/>
        <v>0</v>
      </c>
      <c r="O244" s="400">
        <f t="shared" si="23"/>
        <v>0</v>
      </c>
      <c r="P244" s="400">
        <f t="shared" si="23"/>
        <v>0</v>
      </c>
      <c r="Q244" s="400">
        <f t="shared" si="23"/>
        <v>0</v>
      </c>
      <c r="R244" s="400">
        <f t="shared" si="23"/>
        <v>0</v>
      </c>
      <c r="S244" s="400">
        <f t="shared" si="23"/>
        <v>0</v>
      </c>
      <c r="T244" s="400">
        <f t="shared" si="23"/>
        <v>0</v>
      </c>
      <c r="U244" s="400">
        <f t="shared" si="23"/>
        <v>0</v>
      </c>
      <c r="V244" s="400">
        <f t="shared" si="23"/>
        <v>29458824</v>
      </c>
      <c r="W244" s="400">
        <f t="shared" si="23"/>
        <v>0</v>
      </c>
      <c r="X244" s="400">
        <f t="shared" si="23"/>
        <v>0</v>
      </c>
      <c r="Y244" s="400">
        <f t="shared" si="23"/>
        <v>0</v>
      </c>
      <c r="Z244" s="400">
        <f t="shared" si="23"/>
        <v>0</v>
      </c>
      <c r="AA244" s="400">
        <f t="shared" si="23"/>
        <v>751000</v>
      </c>
      <c r="AB244" s="400">
        <f t="shared" si="23"/>
        <v>0</v>
      </c>
    </row>
    <row r="245" spans="4:28" x14ac:dyDescent="0.2">
      <c r="E245" s="557" t="s">
        <v>751</v>
      </c>
      <c r="G245" s="400">
        <f>SUM(G121,G132)</f>
        <v>0</v>
      </c>
      <c r="H245" s="400">
        <f t="shared" ref="H245:AB245" si="24">SUM(H121,H132)</f>
        <v>21377025</v>
      </c>
      <c r="I245" s="400">
        <f t="shared" si="24"/>
        <v>14351275</v>
      </c>
      <c r="J245" s="400">
        <f t="shared" si="24"/>
        <v>43350389</v>
      </c>
      <c r="K245" s="400">
        <f t="shared" si="24"/>
        <v>0</v>
      </c>
      <c r="L245" s="400">
        <f t="shared" si="24"/>
        <v>18274633</v>
      </c>
      <c r="M245" s="400">
        <f t="shared" si="24"/>
        <v>13645525</v>
      </c>
      <c r="N245" s="400">
        <f t="shared" si="24"/>
        <v>20977579</v>
      </c>
      <c r="O245" s="400">
        <f t="shared" si="24"/>
        <v>0</v>
      </c>
      <c r="P245" s="400">
        <f t="shared" si="24"/>
        <v>0</v>
      </c>
      <c r="Q245" s="400">
        <f t="shared" si="24"/>
        <v>5192932</v>
      </c>
      <c r="R245" s="400">
        <f t="shared" si="24"/>
        <v>0</v>
      </c>
      <c r="S245" s="400">
        <f t="shared" si="24"/>
        <v>14264150</v>
      </c>
      <c r="T245" s="400">
        <f t="shared" si="24"/>
        <v>0</v>
      </c>
      <c r="U245" s="400">
        <f t="shared" si="24"/>
        <v>0</v>
      </c>
      <c r="V245" s="400">
        <f t="shared" si="24"/>
        <v>179245596</v>
      </c>
      <c r="W245" s="400">
        <f t="shared" si="24"/>
        <v>6584901</v>
      </c>
      <c r="X245" s="400">
        <f t="shared" si="24"/>
        <v>0</v>
      </c>
      <c r="Y245" s="400">
        <f t="shared" si="24"/>
        <v>31852634</v>
      </c>
      <c r="Z245" s="400">
        <f t="shared" si="24"/>
        <v>0</v>
      </c>
      <c r="AA245" s="400">
        <f t="shared" si="24"/>
        <v>3513000</v>
      </c>
      <c r="AB245" s="400">
        <f t="shared" si="24"/>
        <v>0</v>
      </c>
    </row>
    <row r="246" spans="4:28" x14ac:dyDescent="0.2">
      <c r="E246" s="557" t="s">
        <v>116</v>
      </c>
      <c r="G246" s="400">
        <f>SUM(G122,G133)</f>
        <v>0</v>
      </c>
      <c r="H246" s="400">
        <f t="shared" ref="H246:AB246" si="25">SUM(H122,H133)</f>
        <v>81267394</v>
      </c>
      <c r="I246" s="400">
        <f t="shared" si="25"/>
        <v>27127103</v>
      </c>
      <c r="J246" s="400">
        <f t="shared" si="25"/>
        <v>111079276</v>
      </c>
      <c r="K246" s="400">
        <f t="shared" si="25"/>
        <v>0</v>
      </c>
      <c r="L246" s="400">
        <f t="shared" si="25"/>
        <v>0</v>
      </c>
      <c r="M246" s="400">
        <f t="shared" si="25"/>
        <v>314495748</v>
      </c>
      <c r="N246" s="400">
        <f t="shared" si="25"/>
        <v>1575485</v>
      </c>
      <c r="O246" s="400">
        <f t="shared" si="25"/>
        <v>0</v>
      </c>
      <c r="P246" s="400">
        <f t="shared" si="25"/>
        <v>24249414</v>
      </c>
      <c r="Q246" s="400">
        <f t="shared" si="25"/>
        <v>41354489</v>
      </c>
      <c r="R246" s="400">
        <f t="shared" si="25"/>
        <v>0</v>
      </c>
      <c r="S246" s="400">
        <f t="shared" si="25"/>
        <v>0</v>
      </c>
      <c r="T246" s="400">
        <f t="shared" si="25"/>
        <v>0</v>
      </c>
      <c r="U246" s="400">
        <f t="shared" si="25"/>
        <v>0</v>
      </c>
      <c r="V246" s="400">
        <f t="shared" si="25"/>
        <v>27670946</v>
      </c>
      <c r="W246" s="400">
        <f t="shared" si="25"/>
        <v>0</v>
      </c>
      <c r="X246" s="400">
        <f t="shared" si="25"/>
        <v>0</v>
      </c>
      <c r="Y246" s="400">
        <f t="shared" si="25"/>
        <v>0</v>
      </c>
      <c r="Z246" s="400">
        <f t="shared" si="25"/>
        <v>36341607</v>
      </c>
      <c r="AA246" s="400">
        <f t="shared" si="25"/>
        <v>282740000</v>
      </c>
      <c r="AB246" s="400">
        <f t="shared" si="25"/>
        <v>9913247</v>
      </c>
    </row>
    <row r="247" spans="4:28" x14ac:dyDescent="0.2">
      <c r="E247" s="557" t="s">
        <v>816</v>
      </c>
      <c r="G247" s="400">
        <f>SUM(G123,G134)</f>
        <v>0</v>
      </c>
      <c r="H247" s="400">
        <f t="shared" ref="H247:AB247" si="26">SUM(H123,H134)</f>
        <v>0</v>
      </c>
      <c r="I247" s="400">
        <f t="shared" si="26"/>
        <v>0</v>
      </c>
      <c r="J247" s="400">
        <f t="shared" si="26"/>
        <v>0</v>
      </c>
      <c r="K247" s="400">
        <f t="shared" si="26"/>
        <v>0</v>
      </c>
      <c r="L247" s="400">
        <f t="shared" si="26"/>
        <v>0</v>
      </c>
      <c r="M247" s="400">
        <f t="shared" si="26"/>
        <v>0</v>
      </c>
      <c r="N247" s="400">
        <f t="shared" si="26"/>
        <v>0</v>
      </c>
      <c r="O247" s="400">
        <f t="shared" si="26"/>
        <v>0</v>
      </c>
      <c r="P247" s="400">
        <f t="shared" si="26"/>
        <v>0</v>
      </c>
      <c r="Q247" s="400">
        <f t="shared" si="26"/>
        <v>0</v>
      </c>
      <c r="R247" s="400">
        <f t="shared" si="26"/>
        <v>0</v>
      </c>
      <c r="S247" s="400">
        <f t="shared" si="26"/>
        <v>0</v>
      </c>
      <c r="T247" s="400">
        <f t="shared" si="26"/>
        <v>0</v>
      </c>
      <c r="U247" s="400">
        <f t="shared" si="26"/>
        <v>0</v>
      </c>
      <c r="V247" s="400">
        <f t="shared" si="26"/>
        <v>0</v>
      </c>
      <c r="W247" s="400">
        <f t="shared" si="26"/>
        <v>0</v>
      </c>
      <c r="X247" s="400">
        <f t="shared" si="26"/>
        <v>0</v>
      </c>
      <c r="Y247" s="400">
        <f t="shared" si="26"/>
        <v>0</v>
      </c>
      <c r="Z247" s="400">
        <f t="shared" si="26"/>
        <v>0</v>
      </c>
      <c r="AA247" s="400">
        <f t="shared" si="26"/>
        <v>0</v>
      </c>
      <c r="AB247" s="400">
        <f t="shared" si="26"/>
        <v>0</v>
      </c>
    </row>
    <row r="248" spans="4:28" x14ac:dyDescent="0.2">
      <c r="E248" s="557" t="s">
        <v>716</v>
      </c>
      <c r="G248" s="400">
        <f>SUM(G124,G135)</f>
        <v>0</v>
      </c>
      <c r="H248" s="400">
        <f t="shared" ref="H248:AB248" si="27">SUM(H124,H135)</f>
        <v>0</v>
      </c>
      <c r="I248" s="400">
        <f t="shared" si="27"/>
        <v>0</v>
      </c>
      <c r="J248" s="400">
        <f t="shared" si="27"/>
        <v>0</v>
      </c>
      <c r="K248" s="400">
        <f t="shared" si="27"/>
        <v>0</v>
      </c>
      <c r="L248" s="400">
        <f t="shared" si="27"/>
        <v>0</v>
      </c>
      <c r="M248" s="400">
        <f t="shared" si="27"/>
        <v>0</v>
      </c>
      <c r="N248" s="400">
        <f t="shared" si="27"/>
        <v>0</v>
      </c>
      <c r="O248" s="400">
        <f t="shared" si="27"/>
        <v>0</v>
      </c>
      <c r="P248" s="400">
        <f t="shared" si="27"/>
        <v>0</v>
      </c>
      <c r="Q248" s="400">
        <f t="shared" si="27"/>
        <v>0</v>
      </c>
      <c r="R248" s="400">
        <f t="shared" si="27"/>
        <v>0</v>
      </c>
      <c r="S248" s="400">
        <f t="shared" si="27"/>
        <v>0</v>
      </c>
      <c r="T248" s="400">
        <f t="shared" si="27"/>
        <v>0</v>
      </c>
      <c r="U248" s="400">
        <f t="shared" si="27"/>
        <v>0</v>
      </c>
      <c r="V248" s="400">
        <f t="shared" si="27"/>
        <v>0</v>
      </c>
      <c r="W248" s="400">
        <f t="shared" si="27"/>
        <v>0</v>
      </c>
      <c r="X248" s="400">
        <f t="shared" si="27"/>
        <v>0</v>
      </c>
      <c r="Y248" s="400">
        <f t="shared" si="27"/>
        <v>0</v>
      </c>
      <c r="Z248" s="400">
        <f t="shared" si="27"/>
        <v>0</v>
      </c>
      <c r="AA248" s="400">
        <f t="shared" si="27"/>
        <v>0</v>
      </c>
      <c r="AB248" s="400">
        <f t="shared" si="27"/>
        <v>0</v>
      </c>
    </row>
    <row r="249" spans="4:28" x14ac:dyDescent="0.2">
      <c r="E249" s="713" t="s">
        <v>992</v>
      </c>
      <c r="G249" s="400"/>
      <c r="H249" s="400"/>
      <c r="I249" s="400"/>
      <c r="J249" s="400"/>
      <c r="K249" s="400"/>
      <c r="L249" s="400"/>
      <c r="M249" s="400"/>
      <c r="N249" s="400"/>
      <c r="O249" s="400"/>
      <c r="P249" s="400"/>
      <c r="Q249" s="400"/>
      <c r="R249" s="400"/>
      <c r="S249" s="400"/>
      <c r="T249" s="400"/>
      <c r="U249" s="400"/>
      <c r="V249" s="400"/>
      <c r="W249" s="400"/>
      <c r="X249" s="400"/>
      <c r="Y249" s="400"/>
      <c r="Z249" s="400"/>
      <c r="AA249" s="400"/>
      <c r="AB249" s="400"/>
    </row>
    <row r="250" spans="4:28" x14ac:dyDescent="0.2">
      <c r="E250" s="557" t="s">
        <v>134</v>
      </c>
      <c r="G250" s="400">
        <f>G137</f>
        <v>0</v>
      </c>
      <c r="H250" s="400">
        <f t="shared" ref="H250:AB250" si="28">H137</f>
        <v>0</v>
      </c>
      <c r="I250" s="400">
        <f t="shared" si="28"/>
        <v>0</v>
      </c>
      <c r="J250" s="400">
        <f t="shared" si="28"/>
        <v>0</v>
      </c>
      <c r="K250" s="400">
        <f t="shared" si="28"/>
        <v>0</v>
      </c>
      <c r="L250" s="400">
        <f t="shared" si="28"/>
        <v>0</v>
      </c>
      <c r="M250" s="400">
        <f t="shared" si="28"/>
        <v>0</v>
      </c>
      <c r="N250" s="400">
        <f t="shared" si="28"/>
        <v>0</v>
      </c>
      <c r="O250" s="400">
        <f t="shared" si="28"/>
        <v>0</v>
      </c>
      <c r="P250" s="400">
        <f t="shared" si="28"/>
        <v>0</v>
      </c>
      <c r="Q250" s="400">
        <f t="shared" si="28"/>
        <v>0</v>
      </c>
      <c r="R250" s="400">
        <f t="shared" si="28"/>
        <v>0</v>
      </c>
      <c r="S250" s="400">
        <f t="shared" si="28"/>
        <v>0</v>
      </c>
      <c r="T250" s="400">
        <f t="shared" si="28"/>
        <v>0</v>
      </c>
      <c r="U250" s="400">
        <f t="shared" si="28"/>
        <v>0</v>
      </c>
      <c r="V250" s="400">
        <f t="shared" si="28"/>
        <v>0</v>
      </c>
      <c r="W250" s="400">
        <f t="shared" si="28"/>
        <v>0</v>
      </c>
      <c r="X250" s="400">
        <f t="shared" si="28"/>
        <v>0</v>
      </c>
      <c r="Y250" s="400">
        <f t="shared" si="28"/>
        <v>0</v>
      </c>
      <c r="Z250" s="400">
        <f t="shared" si="28"/>
        <v>0</v>
      </c>
      <c r="AA250" s="400">
        <f t="shared" si="28"/>
        <v>0</v>
      </c>
      <c r="AB250" s="400">
        <f t="shared" si="28"/>
        <v>0</v>
      </c>
    </row>
    <row r="251" spans="4:28" x14ac:dyDescent="0.2">
      <c r="E251" s="557" t="s">
        <v>82</v>
      </c>
      <c r="G251" s="400">
        <f>SUM(G125,G138)</f>
        <v>0</v>
      </c>
      <c r="H251" s="400">
        <f t="shared" ref="H251:AB251" si="29">SUM(H125,H138)</f>
        <v>27847</v>
      </c>
      <c r="I251" s="400">
        <f t="shared" si="29"/>
        <v>3452174</v>
      </c>
      <c r="J251" s="400">
        <f t="shared" si="29"/>
        <v>705607</v>
      </c>
      <c r="K251" s="400">
        <f t="shared" si="29"/>
        <v>0</v>
      </c>
      <c r="L251" s="400">
        <f t="shared" si="29"/>
        <v>304466</v>
      </c>
      <c r="M251" s="400">
        <f t="shared" si="29"/>
        <v>1117245</v>
      </c>
      <c r="N251" s="400">
        <f t="shared" si="29"/>
        <v>395422</v>
      </c>
      <c r="O251" s="400">
        <f t="shared" si="29"/>
        <v>0</v>
      </c>
      <c r="P251" s="400">
        <f t="shared" si="29"/>
        <v>0</v>
      </c>
      <c r="Q251" s="400">
        <f t="shared" si="29"/>
        <v>658190</v>
      </c>
      <c r="R251" s="400">
        <f t="shared" si="29"/>
        <v>0</v>
      </c>
      <c r="S251" s="400">
        <f t="shared" si="29"/>
        <v>212226</v>
      </c>
      <c r="T251" s="400">
        <f t="shared" si="29"/>
        <v>0</v>
      </c>
      <c r="U251" s="400">
        <f t="shared" si="29"/>
        <v>0</v>
      </c>
      <c r="V251" s="400">
        <f t="shared" si="29"/>
        <v>39528392</v>
      </c>
      <c r="W251" s="400">
        <f t="shared" si="29"/>
        <v>1632502</v>
      </c>
      <c r="X251" s="400">
        <f t="shared" si="29"/>
        <v>0</v>
      </c>
      <c r="Y251" s="400">
        <f t="shared" si="29"/>
        <v>103404</v>
      </c>
      <c r="Z251" s="400">
        <f t="shared" si="29"/>
        <v>4778411</v>
      </c>
      <c r="AA251" s="400">
        <f t="shared" si="29"/>
        <v>26782000</v>
      </c>
      <c r="AB251" s="400">
        <f t="shared" si="29"/>
        <v>0</v>
      </c>
    </row>
    <row r="252" spans="4:28" x14ac:dyDescent="0.2">
      <c r="E252" s="557" t="s">
        <v>760</v>
      </c>
      <c r="F252" s="552"/>
      <c r="G252" s="400">
        <f>SUM(G126,G139)</f>
        <v>0</v>
      </c>
      <c r="H252" s="400">
        <f t="shared" ref="H252:AB252" si="30">SUM(H126,H139)</f>
        <v>0</v>
      </c>
      <c r="I252" s="400">
        <f t="shared" si="30"/>
        <v>20385751</v>
      </c>
      <c r="J252" s="400">
        <f t="shared" si="30"/>
        <v>0</v>
      </c>
      <c r="K252" s="400">
        <f t="shared" si="30"/>
        <v>0</v>
      </c>
      <c r="L252" s="400">
        <f t="shared" si="30"/>
        <v>0</v>
      </c>
      <c r="M252" s="400">
        <f t="shared" si="30"/>
        <v>0</v>
      </c>
      <c r="N252" s="400">
        <f t="shared" si="30"/>
        <v>0</v>
      </c>
      <c r="O252" s="400">
        <f t="shared" si="30"/>
        <v>0</v>
      </c>
      <c r="P252" s="400">
        <f t="shared" si="30"/>
        <v>103746</v>
      </c>
      <c r="Q252" s="400">
        <f t="shared" si="30"/>
        <v>1537178</v>
      </c>
      <c r="R252" s="400">
        <f t="shared" si="30"/>
        <v>0</v>
      </c>
      <c r="S252" s="400">
        <f t="shared" si="30"/>
        <v>0</v>
      </c>
      <c r="T252" s="400">
        <f t="shared" si="30"/>
        <v>0</v>
      </c>
      <c r="U252" s="400">
        <f t="shared" si="30"/>
        <v>0</v>
      </c>
      <c r="V252" s="400">
        <f t="shared" si="30"/>
        <v>533852431</v>
      </c>
      <c r="W252" s="400">
        <f t="shared" si="30"/>
        <v>255000</v>
      </c>
      <c r="X252" s="400">
        <f t="shared" si="30"/>
        <v>0</v>
      </c>
      <c r="Y252" s="400">
        <f t="shared" si="30"/>
        <v>9870508</v>
      </c>
      <c r="Z252" s="400">
        <f t="shared" si="30"/>
        <v>0</v>
      </c>
      <c r="AA252" s="400">
        <f t="shared" si="30"/>
        <v>3460000</v>
      </c>
      <c r="AB252" s="400">
        <f t="shared" si="30"/>
        <v>0</v>
      </c>
    </row>
    <row r="253" spans="4:28" x14ac:dyDescent="0.2">
      <c r="E253" s="550"/>
      <c r="H253" s="3"/>
      <c r="I253" s="3"/>
      <c r="J253" s="3"/>
      <c r="K253" s="3"/>
      <c r="L253" s="3"/>
      <c r="M253" s="3"/>
      <c r="N253" s="3"/>
      <c r="O253" s="3"/>
      <c r="P253" s="3"/>
      <c r="Q253" s="3"/>
      <c r="R253" s="3"/>
      <c r="S253" s="3"/>
      <c r="T253" s="3"/>
      <c r="U253" s="3"/>
      <c r="V253" s="3"/>
      <c r="W253" s="3"/>
      <c r="X253" s="3"/>
      <c r="Y253" s="3"/>
      <c r="Z253" s="3"/>
      <c r="AA253" s="3"/>
      <c r="AB253" s="3"/>
    </row>
    <row r="254" spans="4:28" x14ac:dyDescent="0.2">
      <c r="E254" s="557"/>
      <c r="H254" s="3"/>
      <c r="I254" s="3"/>
      <c r="J254" s="3"/>
      <c r="K254" s="3"/>
      <c r="L254" s="3"/>
      <c r="M254" s="3"/>
      <c r="N254" s="3"/>
      <c r="O254" s="3"/>
      <c r="P254" s="3"/>
      <c r="Q254" s="3"/>
      <c r="R254" s="3"/>
      <c r="S254" s="3"/>
      <c r="T254" s="3"/>
      <c r="U254" s="3"/>
      <c r="V254" s="3"/>
      <c r="W254" s="3"/>
      <c r="X254" s="3"/>
      <c r="Y254" s="3"/>
      <c r="Z254" s="3"/>
      <c r="AA254" s="3"/>
      <c r="AB254" s="3"/>
    </row>
    <row r="255" spans="4:28" x14ac:dyDescent="0.2">
      <c r="D255" s="1154"/>
      <c r="E255" s="1155"/>
      <c r="H255" s="3"/>
      <c r="I255" s="3"/>
      <c r="J255" s="3"/>
      <c r="K255" s="3"/>
      <c r="L255" s="3"/>
      <c r="M255" s="3"/>
      <c r="N255" s="3"/>
      <c r="O255" s="3"/>
      <c r="P255" s="3"/>
      <c r="Q255" s="3"/>
      <c r="R255" s="3"/>
      <c r="S255" s="3"/>
      <c r="T255" s="3"/>
      <c r="U255" s="3"/>
      <c r="V255" s="3"/>
      <c r="W255" s="3"/>
      <c r="X255" s="3"/>
      <c r="Y255" s="3"/>
      <c r="Z255" s="3"/>
      <c r="AA255" s="3"/>
      <c r="AB255" s="3"/>
    </row>
    <row r="256" spans="4:28" x14ac:dyDescent="0.2">
      <c r="E256" s="557"/>
      <c r="H256" s="3"/>
      <c r="I256" s="3"/>
      <c r="J256" s="3"/>
      <c r="K256" s="3"/>
      <c r="L256" s="3"/>
      <c r="M256" s="3"/>
      <c r="N256" s="3"/>
      <c r="O256" s="3"/>
      <c r="P256" s="3"/>
      <c r="Q256" s="3"/>
      <c r="R256" s="3"/>
      <c r="S256" s="3"/>
      <c r="T256" s="3"/>
      <c r="U256" s="3"/>
      <c r="V256" s="3"/>
      <c r="W256" s="3"/>
      <c r="X256" s="3"/>
      <c r="Y256" s="3"/>
      <c r="Z256" s="3"/>
      <c r="AA256" s="3"/>
      <c r="AB256" s="3"/>
    </row>
    <row r="257" spans="5:28" x14ac:dyDescent="0.2">
      <c r="E257" s="550"/>
      <c r="H257" s="3"/>
      <c r="I257" s="3"/>
      <c r="J257" s="3"/>
      <c r="K257" s="3"/>
      <c r="L257" s="3"/>
      <c r="M257" s="3"/>
      <c r="N257" s="3"/>
      <c r="O257" s="3"/>
      <c r="P257" s="3"/>
      <c r="Q257" s="3"/>
      <c r="R257" s="3"/>
      <c r="S257" s="3"/>
      <c r="T257" s="3"/>
      <c r="U257" s="3"/>
      <c r="V257" s="3"/>
      <c r="W257" s="3"/>
      <c r="X257" s="3"/>
      <c r="Y257" s="3"/>
      <c r="Z257" s="3"/>
      <c r="AA257" s="3"/>
      <c r="AB257" s="3"/>
    </row>
    <row r="258" spans="5:28" x14ac:dyDescent="0.2">
      <c r="E258" s="550"/>
      <c r="H258" s="3"/>
      <c r="I258" s="3"/>
      <c r="J258" s="3"/>
      <c r="K258" s="3"/>
      <c r="L258" s="3"/>
      <c r="M258" s="3"/>
      <c r="N258" s="3"/>
      <c r="O258" s="3"/>
      <c r="P258" s="3"/>
      <c r="Q258" s="3"/>
      <c r="R258" s="3"/>
      <c r="S258" s="3"/>
      <c r="T258" s="3"/>
      <c r="U258" s="3"/>
      <c r="V258" s="3"/>
      <c r="W258" s="3"/>
      <c r="X258" s="3"/>
      <c r="Y258" s="3"/>
      <c r="Z258" s="3"/>
      <c r="AA258" s="3"/>
      <c r="AB258" s="3"/>
    </row>
    <row r="259" spans="5:28" x14ac:dyDescent="0.2">
      <c r="E259" s="550"/>
      <c r="H259" s="3"/>
      <c r="I259" s="3"/>
      <c r="J259" s="3"/>
      <c r="K259" s="3"/>
      <c r="L259" s="3"/>
      <c r="M259" s="3"/>
      <c r="N259" s="3"/>
      <c r="O259" s="3"/>
      <c r="P259" s="3"/>
      <c r="Q259" s="3"/>
      <c r="R259" s="3"/>
      <c r="S259" s="3"/>
      <c r="T259" s="3"/>
      <c r="U259" s="3"/>
      <c r="V259" s="3"/>
      <c r="W259" s="3"/>
      <c r="X259" s="3"/>
      <c r="Y259" s="3"/>
      <c r="Z259" s="3"/>
      <c r="AA259" s="3"/>
      <c r="AB259" s="3"/>
    </row>
    <row r="260" spans="5:28" x14ac:dyDescent="0.2">
      <c r="E260" s="550"/>
      <c r="H260" s="3"/>
      <c r="I260" s="3"/>
      <c r="J260" s="3"/>
      <c r="K260" s="3"/>
      <c r="L260" s="3"/>
      <c r="M260" s="3"/>
      <c r="N260" s="3"/>
      <c r="O260" s="3"/>
      <c r="P260" s="3"/>
      <c r="Q260" s="3"/>
      <c r="R260" s="3"/>
      <c r="S260" s="3"/>
      <c r="T260" s="3"/>
      <c r="U260" s="3"/>
      <c r="V260" s="3"/>
      <c r="W260" s="3"/>
      <c r="X260" s="3"/>
      <c r="Y260" s="3"/>
      <c r="Z260" s="3"/>
      <c r="AA260" s="3"/>
      <c r="AB260" s="3"/>
    </row>
    <row r="261" spans="5:28" x14ac:dyDescent="0.2">
      <c r="E261" s="550"/>
      <c r="H261" s="3"/>
      <c r="I261" s="3"/>
      <c r="J261" s="3"/>
      <c r="K261" s="3"/>
      <c r="L261" s="3"/>
      <c r="M261" s="3"/>
      <c r="N261" s="3"/>
      <c r="O261" s="3"/>
      <c r="P261" s="3"/>
      <c r="Q261" s="3"/>
      <c r="R261" s="3"/>
      <c r="S261" s="3"/>
      <c r="T261" s="3"/>
      <c r="U261" s="3"/>
      <c r="V261" s="3"/>
      <c r="W261" s="3"/>
      <c r="X261" s="3"/>
      <c r="Y261" s="3"/>
      <c r="Z261" s="3"/>
      <c r="AA261" s="3"/>
      <c r="AB261" s="3"/>
    </row>
    <row r="262" spans="5:28" x14ac:dyDescent="0.2">
      <c r="E262" s="550"/>
      <c r="H262" s="3"/>
      <c r="I262" s="3"/>
      <c r="J262" s="3"/>
      <c r="K262" s="3"/>
      <c r="L262" s="3"/>
      <c r="M262" s="3"/>
      <c r="N262" s="3"/>
      <c r="O262" s="3"/>
      <c r="P262" s="3"/>
      <c r="Q262" s="3"/>
      <c r="R262" s="3"/>
      <c r="S262" s="3"/>
      <c r="T262" s="3"/>
      <c r="U262" s="3"/>
      <c r="V262" s="3"/>
      <c r="W262" s="3"/>
      <c r="X262" s="3"/>
      <c r="Y262" s="3"/>
      <c r="Z262" s="3"/>
      <c r="AA262" s="3"/>
      <c r="AB262" s="3"/>
    </row>
    <row r="263" spans="5:28" x14ac:dyDescent="0.2">
      <c r="E263" s="550"/>
    </row>
    <row r="264" spans="5:28" x14ac:dyDescent="0.2">
      <c r="E264" s="550"/>
    </row>
    <row r="265" spans="5:28" x14ac:dyDescent="0.2">
      <c r="E265" s="550"/>
    </row>
    <row r="266" spans="5:28" x14ac:dyDescent="0.2">
      <c r="E266" s="550"/>
    </row>
    <row r="267" spans="5:28" x14ac:dyDescent="0.2">
      <c r="E267" s="550"/>
    </row>
    <row r="268" spans="5:28" x14ac:dyDescent="0.2">
      <c r="E268" s="550"/>
    </row>
    <row r="269" spans="5:28" x14ac:dyDescent="0.2">
      <c r="E269" s="550"/>
    </row>
    <row r="270" spans="5:28" x14ac:dyDescent="0.2">
      <c r="E270" s="550"/>
    </row>
    <row r="271" spans="5:28" x14ac:dyDescent="0.2">
      <c r="E271" s="550"/>
    </row>
    <row r="272" spans="5:28" x14ac:dyDescent="0.2">
      <c r="E272" s="550"/>
    </row>
    <row r="273" spans="5:5" x14ac:dyDescent="0.2">
      <c r="E273" s="550"/>
    </row>
    <row r="274" spans="5:5" x14ac:dyDescent="0.2">
      <c r="E274" s="550"/>
    </row>
    <row r="275" spans="5:5" x14ac:dyDescent="0.2">
      <c r="E275" s="550"/>
    </row>
    <row r="276" spans="5:5" x14ac:dyDescent="0.2">
      <c r="E276" s="550"/>
    </row>
    <row r="277" spans="5:5" x14ac:dyDescent="0.2">
      <c r="E277" s="550"/>
    </row>
    <row r="278" spans="5:5" x14ac:dyDescent="0.2">
      <c r="E278" s="550"/>
    </row>
    <row r="279" spans="5:5" x14ac:dyDescent="0.2">
      <c r="E279" s="550"/>
    </row>
    <row r="280" spans="5:5" x14ac:dyDescent="0.2">
      <c r="E280" s="550"/>
    </row>
    <row r="281" spans="5:5" x14ac:dyDescent="0.2">
      <c r="E281" s="550"/>
    </row>
    <row r="282" spans="5:5" x14ac:dyDescent="0.2">
      <c r="E282" s="550"/>
    </row>
    <row r="283" spans="5:5" x14ac:dyDescent="0.2">
      <c r="E283" s="550"/>
    </row>
    <row r="284" spans="5:5" x14ac:dyDescent="0.2">
      <c r="E284" s="550"/>
    </row>
    <row r="285" spans="5:5" x14ac:dyDescent="0.2">
      <c r="E285" s="550"/>
    </row>
    <row r="286" spans="5:5" x14ac:dyDescent="0.2">
      <c r="E286" s="550"/>
    </row>
    <row r="287" spans="5:5" x14ac:dyDescent="0.2">
      <c r="E287" s="550"/>
    </row>
    <row r="288" spans="5:5" x14ac:dyDescent="0.2">
      <c r="E288" s="550"/>
    </row>
    <row r="289" spans="5:5" x14ac:dyDescent="0.2">
      <c r="E289" s="550"/>
    </row>
    <row r="290" spans="5:5" x14ac:dyDescent="0.2">
      <c r="E290" s="550"/>
    </row>
    <row r="291" spans="5:5" x14ac:dyDescent="0.2">
      <c r="E291" s="550"/>
    </row>
    <row r="292" spans="5:5" x14ac:dyDescent="0.2">
      <c r="E292" s="550"/>
    </row>
    <row r="293" spans="5:5" x14ac:dyDescent="0.2">
      <c r="E293" s="550"/>
    </row>
    <row r="294" spans="5:5" x14ac:dyDescent="0.2">
      <c r="E294" s="550"/>
    </row>
    <row r="295" spans="5:5" x14ac:dyDescent="0.2">
      <c r="E295" s="550"/>
    </row>
    <row r="296" spans="5:5" x14ac:dyDescent="0.2">
      <c r="E296" s="550"/>
    </row>
    <row r="297" spans="5:5" x14ac:dyDescent="0.2">
      <c r="E297" s="550"/>
    </row>
    <row r="298" spans="5:5" x14ac:dyDescent="0.2">
      <c r="E298" s="550"/>
    </row>
    <row r="299" spans="5:5" x14ac:dyDescent="0.2">
      <c r="E299" s="550"/>
    </row>
    <row r="300" spans="5:5" x14ac:dyDescent="0.2">
      <c r="E300" s="550"/>
    </row>
    <row r="301" spans="5:5" x14ac:dyDescent="0.2">
      <c r="E301" s="550"/>
    </row>
    <row r="302" spans="5:5" x14ac:dyDescent="0.2">
      <c r="E302" s="550"/>
    </row>
    <row r="303" spans="5:5" x14ac:dyDescent="0.2">
      <c r="E303" s="550"/>
    </row>
    <row r="304" spans="5:5" x14ac:dyDescent="0.2">
      <c r="E304" s="550"/>
    </row>
    <row r="305" spans="5:5" x14ac:dyDescent="0.2">
      <c r="E305" s="550"/>
    </row>
    <row r="306" spans="5:5" x14ac:dyDescent="0.2">
      <c r="E306" s="550"/>
    </row>
    <row r="307" spans="5:5" x14ac:dyDescent="0.2">
      <c r="E307" s="550"/>
    </row>
    <row r="308" spans="5:5" x14ac:dyDescent="0.2">
      <c r="E308" s="550"/>
    </row>
    <row r="309" spans="5:5" x14ac:dyDescent="0.2">
      <c r="E309" s="550"/>
    </row>
    <row r="310" spans="5:5" x14ac:dyDescent="0.2">
      <c r="E310" s="550"/>
    </row>
  </sheetData>
  <sheetProtection algorithmName="SHA-512" hashValue="hE8jv74IUPxaIz9QDWImoEecnKC22xlIQvuKe+FNh2gVQOpXX3w9j1iXG/4uU+czsJ1y3+sfFu9WfnMYgXR1Bg==" saltValue="kIIgYP5esokMwnPGfpk2Vw==" spinCount="100000" sheet="1" objects="1" scenarios="1"/>
  <mergeCells count="9">
    <mergeCell ref="A233:E233"/>
    <mergeCell ref="D255:E255"/>
    <mergeCell ref="A61:D61"/>
    <mergeCell ref="A62:D62"/>
    <mergeCell ref="A5:D5"/>
    <mergeCell ref="A6:D6"/>
    <mergeCell ref="A54:D54"/>
    <mergeCell ref="A55:D55"/>
    <mergeCell ref="A177:E177"/>
  </mergeCells>
  <phoneticPr fontId="51" type="noConversion"/>
  <dataValidations count="2">
    <dataValidation allowBlank="1" showInputMessage="1" showErrorMessage="1" error="Enter whole number." sqref="A114:A115" xr:uid="{00000000-0002-0000-0100-000001000000}"/>
    <dataValidation type="whole" allowBlank="1" showInputMessage="1" showErrorMessage="1" error="Enter whole number." sqref="G91:AB91" xr:uid="{00000000-0002-0000-0100-000000000000}">
      <formula1>-10000000000000000000</formula1>
      <formula2>10000000000000000000</formula2>
    </dataValidation>
  </dataValidations>
  <printOptions headings="1" gridLines="1"/>
  <pageMargins left="0.75" right="0.75" top="0.31" bottom="0.98" header="0.17" footer="0.21"/>
  <pageSetup paperSize="5" scale="55" orientation="landscape" r:id="rId1"/>
  <headerFooter alignWithMargins="0">
    <oddFooter>&amp;L&amp;"Arial,Regular"&amp;Z&amp;F &amp;A&amp;R&amp;"Arial,Regular"Page &amp;P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78"/>
  <sheetViews>
    <sheetView showGridLines="0" zoomScale="90" zoomScaleNormal="90" zoomScaleSheetLayoutView="80" workbookViewId="0">
      <pane xSplit="2" ySplit="17" topLeftCell="C18" activePane="bottomRight" state="frozen"/>
      <selection pane="topRight" activeCell="C1" sqref="C1"/>
      <selection pane="bottomLeft" activeCell="A18" sqref="A18"/>
      <selection pane="bottomRight" activeCell="P13" sqref="P13"/>
    </sheetView>
  </sheetViews>
  <sheetFormatPr defaultColWidth="10.6640625" defaultRowHeight="12.75" x14ac:dyDescent="0.2"/>
  <cols>
    <col min="1" max="1" width="32.5" style="58" customWidth="1"/>
    <col min="2" max="2" width="30.6640625" style="58" customWidth="1"/>
    <col min="3" max="10" width="16.83203125" style="58" customWidth="1"/>
    <col min="11" max="16384" width="10.6640625" style="58"/>
  </cols>
  <sheetData>
    <row r="1" spans="1:10" x14ac:dyDescent="0.2">
      <c r="A1" s="824" t="s">
        <v>1155</v>
      </c>
      <c r="C1" s="1546">
        <f>FST!E1</f>
        <v>0</v>
      </c>
      <c r="D1" s="1547"/>
      <c r="E1" s="1547"/>
      <c r="F1" s="1547"/>
    </row>
    <row r="2" spans="1:10" s="33" customFormat="1" ht="37.5" customHeight="1" x14ac:dyDescent="0.2">
      <c r="A2" s="824" t="s">
        <v>770</v>
      </c>
      <c r="B2" s="31"/>
      <c r="C2" s="1546" t="str">
        <f>FST!E2</f>
        <v/>
      </c>
      <c r="D2" s="1547"/>
      <c r="E2" s="1547"/>
      <c r="F2" s="1547"/>
    </row>
    <row r="3" spans="1:10" s="33" customFormat="1" x14ac:dyDescent="0.2">
      <c r="A3" s="824" t="s">
        <v>771</v>
      </c>
      <c r="B3" s="220"/>
      <c r="C3" s="1556">
        <f>FST!E3</f>
        <v>0</v>
      </c>
      <c r="D3" s="1557"/>
      <c r="E3" s="1557"/>
      <c r="F3" s="1557"/>
    </row>
    <row r="4" spans="1:10" s="33" customFormat="1" x14ac:dyDescent="0.2">
      <c r="A4" s="824" t="s">
        <v>773</v>
      </c>
      <c r="B4" s="220"/>
      <c r="C4" s="1558">
        <f>FST!E4</f>
        <v>0</v>
      </c>
      <c r="D4" s="1559"/>
      <c r="E4" s="1559"/>
      <c r="F4" s="1559"/>
    </row>
    <row r="5" spans="1:10" s="33" customFormat="1" x14ac:dyDescent="0.2">
      <c r="A5" s="825" t="s">
        <v>774</v>
      </c>
      <c r="B5" s="220"/>
      <c r="C5" s="1556">
        <f>FST!E5</f>
        <v>0</v>
      </c>
      <c r="D5" s="1557"/>
      <c r="E5" s="1557"/>
      <c r="F5" s="1557"/>
    </row>
    <row r="6" spans="1:10" s="33" customFormat="1" x14ac:dyDescent="0.2">
      <c r="A6" s="826" t="s">
        <v>775</v>
      </c>
      <c r="B6" s="220"/>
      <c r="C6" s="1553">
        <f>FST!E6</f>
        <v>0</v>
      </c>
      <c r="D6" s="1554"/>
      <c r="E6" s="1554"/>
      <c r="F6" s="1554"/>
    </row>
    <row r="7" spans="1:10" s="33" customFormat="1" ht="12" x14ac:dyDescent="0.2">
      <c r="A7" s="67" t="s">
        <v>527</v>
      </c>
      <c r="B7" s="34"/>
    </row>
    <row r="8" spans="1:10" s="33" customFormat="1" ht="12" x14ac:dyDescent="0.2">
      <c r="A8" s="827"/>
      <c r="B8" s="34"/>
    </row>
    <row r="9" spans="1:10" s="33" customFormat="1" ht="12" x14ac:dyDescent="0.2">
      <c r="A9" s="827"/>
      <c r="B9" s="34"/>
    </row>
    <row r="10" spans="1:10" s="33" customFormat="1" x14ac:dyDescent="0.2">
      <c r="A10" s="1263" t="s">
        <v>53</v>
      </c>
      <c r="B10" s="1545"/>
      <c r="C10" s="1545"/>
      <c r="D10" s="1545"/>
      <c r="E10" s="1545"/>
      <c r="F10" s="1545"/>
    </row>
    <row r="11" spans="1:10" s="33" customFormat="1" ht="24.75" customHeight="1" x14ac:dyDescent="0.2">
      <c r="A11" s="1271" t="s">
        <v>1358</v>
      </c>
      <c r="B11" s="1545"/>
      <c r="C11" s="1545"/>
      <c r="D11" s="1545"/>
      <c r="E11" s="1545"/>
      <c r="F11" s="1545"/>
    </row>
    <row r="12" spans="1:10" s="33" customFormat="1" ht="12" x14ac:dyDescent="0.2">
      <c r="A12" s="36"/>
      <c r="B12" s="35"/>
      <c r="C12" s="36"/>
      <c r="D12" s="36"/>
      <c r="E12" s="36"/>
      <c r="F12" s="36"/>
      <c r="G12" s="36"/>
      <c r="H12" s="36"/>
      <c r="I12" s="36"/>
      <c r="J12" s="36"/>
    </row>
    <row r="13" spans="1:10" s="33" customFormat="1" ht="12" x14ac:dyDescent="0.2">
      <c r="A13" s="221"/>
      <c r="B13" s="34"/>
    </row>
    <row r="14" spans="1:10" s="222" customFormat="1" ht="48" customHeight="1" x14ac:dyDescent="0.2">
      <c r="A14" s="1544" t="s">
        <v>1360</v>
      </c>
      <c r="B14" s="1545"/>
      <c r="C14" s="1545"/>
      <c r="D14" s="1545"/>
      <c r="E14" s="1545"/>
      <c r="F14" s="1545"/>
    </row>
    <row r="15" spans="1:10" s="222" customFormat="1" x14ac:dyDescent="0.2">
      <c r="B15" s="223"/>
    </row>
    <row r="16" spans="1:10" ht="57.95" customHeight="1" x14ac:dyDescent="0.2">
      <c r="A16" s="58" t="s">
        <v>54</v>
      </c>
      <c r="B16" s="224"/>
      <c r="C16" s="312">
        <f>'Combining FST'!G19</f>
        <v>0</v>
      </c>
      <c r="D16" s="312">
        <f>'Combining FST'!H19</f>
        <v>0</v>
      </c>
      <c r="E16" s="312">
        <f>'Combining FST'!I19</f>
        <v>0</v>
      </c>
      <c r="F16" s="312">
        <f>'Combining FST'!J19</f>
        <v>0</v>
      </c>
      <c r="G16" s="312">
        <f>'Combining FST'!K19</f>
        <v>0</v>
      </c>
      <c r="H16" s="312">
        <f>'Combining FST'!L19</f>
        <v>0</v>
      </c>
      <c r="I16" s="312">
        <f>'Combining FST'!M19</f>
        <v>0</v>
      </c>
      <c r="J16" s="312">
        <f>'Combining FST'!N19</f>
        <v>0</v>
      </c>
    </row>
    <row r="17" spans="1:10" x14ac:dyDescent="0.2">
      <c r="A17" s="828" t="s">
        <v>184</v>
      </c>
      <c r="B17" s="224"/>
      <c r="C17" s="537">
        <f>'Combining FST'!G20</f>
        <v>0</v>
      </c>
      <c r="D17" s="537">
        <f>'Combining FST'!H20</f>
        <v>0</v>
      </c>
      <c r="E17" s="537">
        <f>'Combining FST'!I20</f>
        <v>0</v>
      </c>
      <c r="F17" s="537">
        <f>'Combining FST'!J20</f>
        <v>0</v>
      </c>
      <c r="G17" s="537">
        <f>'Combining FST'!K20</f>
        <v>0</v>
      </c>
      <c r="H17" s="537">
        <f>'Combining FST'!L20</f>
        <v>0</v>
      </c>
      <c r="I17" s="537">
        <f>'Combining FST'!M20</f>
        <v>0</v>
      </c>
      <c r="J17" s="537">
        <f>'Combining FST'!N20</f>
        <v>0</v>
      </c>
    </row>
    <row r="18" spans="1:10" s="222" customFormat="1" x14ac:dyDescent="0.2">
      <c r="A18" s="833"/>
      <c r="B18" s="223"/>
    </row>
    <row r="19" spans="1:10" s="222" customFormat="1" ht="60.75" customHeight="1" x14ac:dyDescent="0.2">
      <c r="A19" s="225" t="s">
        <v>336</v>
      </c>
      <c r="B19" s="327" t="s">
        <v>513</v>
      </c>
      <c r="C19" s="1562" t="s">
        <v>987</v>
      </c>
      <c r="D19" s="1563"/>
      <c r="E19" s="1563"/>
      <c r="F19" s="1563"/>
    </row>
    <row r="20" spans="1:10" s="222" customFormat="1" x14ac:dyDescent="0.2">
      <c r="A20" s="675"/>
      <c r="B20" s="405"/>
      <c r="C20" s="288"/>
      <c r="D20" s="288"/>
      <c r="E20" s="288"/>
      <c r="F20" s="288"/>
      <c r="G20" s="288"/>
      <c r="H20" s="288"/>
      <c r="I20" s="288"/>
      <c r="J20" s="288"/>
    </row>
    <row r="21" spans="1:10" x14ac:dyDescent="0.2">
      <c r="A21" s="676"/>
      <c r="B21" s="294"/>
      <c r="C21" s="63"/>
      <c r="D21" s="63"/>
      <c r="E21" s="63"/>
      <c r="F21" s="288"/>
      <c r="G21" s="288"/>
      <c r="H21" s="288"/>
      <c r="I21" s="288"/>
      <c r="J21" s="288"/>
    </row>
    <row r="22" spans="1:10" x14ac:dyDescent="0.2">
      <c r="A22" s="676"/>
      <c r="B22" s="294"/>
      <c r="C22" s="63"/>
      <c r="D22" s="63"/>
      <c r="E22" s="63"/>
      <c r="F22" s="288"/>
      <c r="G22" s="288"/>
      <c r="H22" s="288"/>
      <c r="I22" s="288"/>
      <c r="J22" s="288"/>
    </row>
    <row r="23" spans="1:10" x14ac:dyDescent="0.2">
      <c r="A23" s="676"/>
      <c r="B23" s="294"/>
      <c r="C23" s="63"/>
      <c r="D23" s="63"/>
      <c r="E23" s="63"/>
      <c r="F23" s="288"/>
      <c r="G23" s="288"/>
      <c r="H23" s="288"/>
      <c r="I23" s="288"/>
      <c r="J23" s="288"/>
    </row>
    <row r="24" spans="1:10" x14ac:dyDescent="0.2">
      <c r="A24" s="676"/>
      <c r="B24" s="294"/>
      <c r="C24" s="63"/>
      <c r="D24" s="63"/>
      <c r="E24" s="63"/>
      <c r="F24" s="288"/>
      <c r="G24" s="288"/>
      <c r="H24" s="288"/>
      <c r="I24" s="288"/>
      <c r="J24" s="288"/>
    </row>
    <row r="25" spans="1:10" x14ac:dyDescent="0.2">
      <c r="A25" s="676"/>
      <c r="B25" s="294"/>
      <c r="C25" s="63"/>
      <c r="D25" s="63"/>
      <c r="E25" s="63"/>
      <c r="F25" s="288"/>
      <c r="G25" s="288"/>
      <c r="H25" s="288"/>
      <c r="I25" s="288"/>
      <c r="J25" s="288"/>
    </row>
    <row r="26" spans="1:10" x14ac:dyDescent="0.2">
      <c r="A26" s="676"/>
      <c r="B26" s="294"/>
      <c r="C26" s="63"/>
      <c r="D26" s="63"/>
      <c r="E26" s="63"/>
      <c r="F26" s="288"/>
      <c r="G26" s="288"/>
      <c r="H26" s="288"/>
      <c r="I26" s="288"/>
      <c r="J26" s="288"/>
    </row>
    <row r="27" spans="1:10" x14ac:dyDescent="0.2">
      <c r="A27" s="676"/>
      <c r="B27" s="294"/>
      <c r="C27" s="63"/>
      <c r="D27" s="63"/>
      <c r="E27" s="63"/>
      <c r="F27" s="288"/>
      <c r="G27" s="288"/>
      <c r="H27" s="288"/>
      <c r="I27" s="288"/>
      <c r="J27" s="288"/>
    </row>
    <row r="28" spans="1:10" x14ac:dyDescent="0.2">
      <c r="A28" s="676"/>
      <c r="B28" s="294"/>
      <c r="C28" s="63"/>
      <c r="D28" s="63"/>
      <c r="E28" s="63"/>
      <c r="F28" s="288"/>
      <c r="G28" s="288"/>
      <c r="H28" s="288"/>
      <c r="I28" s="288"/>
      <c r="J28" s="288"/>
    </row>
    <row r="29" spans="1:10" x14ac:dyDescent="0.2">
      <c r="A29" s="676"/>
      <c r="B29" s="294"/>
      <c r="C29" s="63"/>
      <c r="D29" s="63"/>
      <c r="E29" s="63"/>
      <c r="F29" s="288"/>
      <c r="G29" s="288"/>
      <c r="H29" s="288"/>
      <c r="I29" s="288"/>
      <c r="J29" s="288"/>
    </row>
    <row r="30" spans="1:10" x14ac:dyDescent="0.2">
      <c r="A30" s="676"/>
      <c r="B30" s="294"/>
      <c r="C30" s="63"/>
      <c r="D30" s="63"/>
      <c r="E30" s="63"/>
      <c r="F30" s="288"/>
      <c r="G30" s="288"/>
      <c r="H30" s="288"/>
      <c r="I30" s="288"/>
      <c r="J30" s="288"/>
    </row>
    <row r="31" spans="1:10" x14ac:dyDescent="0.2">
      <c r="A31" s="676"/>
      <c r="B31" s="294"/>
      <c r="C31" s="63"/>
      <c r="D31" s="63"/>
      <c r="E31" s="63"/>
      <c r="F31" s="288"/>
      <c r="G31" s="288"/>
      <c r="H31" s="288"/>
      <c r="I31" s="288"/>
      <c r="J31" s="288"/>
    </row>
    <row r="32" spans="1:10" x14ac:dyDescent="0.2">
      <c r="A32" s="676"/>
      <c r="B32" s="294"/>
      <c r="C32" s="63"/>
      <c r="D32" s="63"/>
      <c r="E32" s="63"/>
      <c r="F32" s="288"/>
      <c r="G32" s="288"/>
      <c r="H32" s="288"/>
      <c r="I32" s="288"/>
      <c r="J32" s="288"/>
    </row>
    <row r="33" spans="1:10" x14ac:dyDescent="0.2">
      <c r="A33" s="676"/>
      <c r="B33" s="294"/>
      <c r="C33" s="63"/>
      <c r="D33" s="63"/>
      <c r="E33" s="63"/>
      <c r="F33" s="288"/>
      <c r="G33" s="288"/>
      <c r="H33" s="288"/>
      <c r="I33" s="288"/>
      <c r="J33" s="288"/>
    </row>
    <row r="34" spans="1:10" x14ac:dyDescent="0.2">
      <c r="A34" s="676"/>
      <c r="B34" s="294"/>
      <c r="C34" s="63"/>
      <c r="D34" s="63"/>
      <c r="E34" s="63"/>
      <c r="F34" s="288"/>
      <c r="G34" s="288"/>
      <c r="H34" s="288"/>
      <c r="I34" s="288"/>
      <c r="J34" s="288"/>
    </row>
    <row r="37" spans="1:10" s="222" customFormat="1" ht="30" customHeight="1" x14ac:dyDescent="0.2">
      <c r="A37" s="1544" t="s">
        <v>1292</v>
      </c>
      <c r="B37" s="1545"/>
      <c r="C37" s="1545"/>
      <c r="D37" s="1545"/>
      <c r="E37" s="1545"/>
      <c r="F37" s="1545"/>
    </row>
    <row r="39" spans="1:10" ht="25.5" x14ac:dyDescent="0.2">
      <c r="A39" s="855" t="s">
        <v>1293</v>
      </c>
      <c r="B39" s="327" t="s">
        <v>513</v>
      </c>
      <c r="C39" s="1562" t="s">
        <v>987</v>
      </c>
      <c r="D39" s="1563"/>
      <c r="E39" s="1563"/>
      <c r="F39" s="1563"/>
      <c r="G39" s="222"/>
      <c r="H39" s="222"/>
      <c r="I39" s="222"/>
      <c r="J39" s="222"/>
    </row>
    <row r="40" spans="1:10" x14ac:dyDescent="0.2">
      <c r="A40" s="675"/>
      <c r="B40" s="405"/>
      <c r="C40" s="288"/>
      <c r="D40" s="288"/>
      <c r="E40" s="288"/>
      <c r="F40" s="288"/>
      <c r="G40" s="288"/>
      <c r="H40" s="288"/>
      <c r="I40" s="288"/>
      <c r="J40" s="288"/>
    </row>
    <row r="41" spans="1:10" x14ac:dyDescent="0.2">
      <c r="A41" s="676"/>
      <c r="B41" s="294"/>
      <c r="C41" s="63"/>
      <c r="D41" s="63"/>
      <c r="E41" s="63"/>
      <c r="F41" s="288"/>
      <c r="G41" s="288"/>
      <c r="H41" s="288"/>
      <c r="I41" s="288"/>
      <c r="J41" s="288"/>
    </row>
    <row r="42" spans="1:10" x14ac:dyDescent="0.2">
      <c r="A42" s="676"/>
      <c r="B42" s="294"/>
      <c r="C42" s="63"/>
      <c r="D42" s="63"/>
      <c r="E42" s="63"/>
      <c r="F42" s="288"/>
      <c r="G42" s="288"/>
      <c r="H42" s="288"/>
      <c r="I42" s="288"/>
      <c r="J42" s="288"/>
    </row>
    <row r="43" spans="1:10" x14ac:dyDescent="0.2">
      <c r="A43" s="676"/>
      <c r="B43" s="294"/>
      <c r="C43" s="63"/>
      <c r="D43" s="63"/>
      <c r="E43" s="63"/>
      <c r="F43" s="288"/>
      <c r="G43" s="288"/>
      <c r="H43" s="288"/>
      <c r="I43" s="288"/>
      <c r="J43" s="288"/>
    </row>
    <row r="44" spans="1:10" x14ac:dyDescent="0.2">
      <c r="A44" s="676"/>
      <c r="B44" s="294"/>
      <c r="C44" s="63"/>
      <c r="D44" s="63"/>
      <c r="E44" s="63"/>
      <c r="F44" s="288"/>
      <c r="G44" s="288"/>
      <c r="H44" s="288"/>
      <c r="I44" s="288"/>
      <c r="J44" s="288"/>
    </row>
    <row r="45" spans="1:10" x14ac:dyDescent="0.2">
      <c r="A45" s="676"/>
      <c r="B45" s="294"/>
      <c r="C45" s="63"/>
      <c r="D45" s="63"/>
      <c r="E45" s="63"/>
      <c r="F45" s="288"/>
      <c r="G45" s="288"/>
      <c r="H45" s="288"/>
      <c r="I45" s="288"/>
      <c r="J45" s="288"/>
    </row>
    <row r="46" spans="1:10" x14ac:dyDescent="0.2">
      <c r="A46" s="676"/>
      <c r="B46" s="294"/>
      <c r="C46" s="63"/>
      <c r="D46" s="63"/>
      <c r="E46" s="63"/>
      <c r="F46" s="288"/>
      <c r="G46" s="288"/>
      <c r="H46" s="288"/>
      <c r="I46" s="288"/>
      <c r="J46" s="288"/>
    </row>
    <row r="47" spans="1:10" x14ac:dyDescent="0.2">
      <c r="A47" s="676"/>
      <c r="B47" s="294"/>
      <c r="C47" s="63"/>
      <c r="D47" s="63"/>
      <c r="E47" s="63"/>
      <c r="F47" s="288"/>
      <c r="G47" s="288"/>
      <c r="H47" s="288"/>
      <c r="I47" s="288"/>
      <c r="J47" s="288"/>
    </row>
    <row r="48" spans="1:10" x14ac:dyDescent="0.2">
      <c r="A48" s="676"/>
      <c r="B48" s="294"/>
      <c r="C48" s="63"/>
      <c r="D48" s="63"/>
      <c r="E48" s="63"/>
      <c r="F48" s="288"/>
      <c r="G48" s="288"/>
      <c r="H48" s="288"/>
      <c r="I48" s="288"/>
      <c r="J48" s="288"/>
    </row>
    <row r="49" spans="1:10" x14ac:dyDescent="0.2">
      <c r="A49" s="676"/>
      <c r="B49" s="294"/>
      <c r="C49" s="63"/>
      <c r="D49" s="63"/>
      <c r="E49" s="63"/>
      <c r="F49" s="288"/>
      <c r="G49" s="288"/>
      <c r="H49" s="288"/>
      <c r="I49" s="288"/>
      <c r="J49" s="288"/>
    </row>
    <row r="50" spans="1:10" x14ac:dyDescent="0.2">
      <c r="A50" s="676"/>
      <c r="B50" s="294"/>
      <c r="C50" s="63"/>
      <c r="D50" s="63"/>
      <c r="E50" s="63"/>
      <c r="F50" s="288"/>
      <c r="G50" s="288"/>
      <c r="H50" s="288"/>
      <c r="I50" s="288"/>
      <c r="J50" s="288"/>
    </row>
    <row r="51" spans="1:10" x14ac:dyDescent="0.2">
      <c r="A51" s="676"/>
      <c r="B51" s="294"/>
      <c r="C51" s="63"/>
      <c r="D51" s="63"/>
      <c r="E51" s="63"/>
      <c r="F51" s="288"/>
      <c r="G51" s="288"/>
      <c r="H51" s="288"/>
      <c r="I51" s="288"/>
      <c r="J51" s="288"/>
    </row>
    <row r="52" spans="1:10" x14ac:dyDescent="0.2">
      <c r="A52" s="676"/>
      <c r="B52" s="294"/>
      <c r="C52" s="63"/>
      <c r="D52" s="63"/>
      <c r="E52" s="63"/>
      <c r="F52" s="288"/>
      <c r="G52" s="288"/>
      <c r="H52" s="288"/>
      <c r="I52" s="288"/>
      <c r="J52" s="288"/>
    </row>
    <row r="53" spans="1:10" x14ac:dyDescent="0.2">
      <c r="A53" s="676"/>
      <c r="B53" s="294"/>
      <c r="C53" s="63"/>
      <c r="D53" s="63"/>
      <c r="E53" s="63"/>
      <c r="F53" s="288"/>
      <c r="G53" s="288"/>
      <c r="H53" s="288"/>
      <c r="I53" s="288"/>
      <c r="J53" s="288"/>
    </row>
    <row r="54" spans="1:10" x14ac:dyDescent="0.2">
      <c r="A54" s="676"/>
      <c r="B54" s="294"/>
      <c r="C54" s="63"/>
      <c r="D54" s="63"/>
      <c r="E54" s="63"/>
      <c r="F54" s="288"/>
      <c r="G54" s="288"/>
      <c r="H54" s="288"/>
      <c r="I54" s="288"/>
      <c r="J54" s="288"/>
    </row>
    <row r="56" spans="1:10" s="222" customFormat="1" ht="28.5" customHeight="1" x14ac:dyDescent="0.2">
      <c r="A56" s="1544" t="s">
        <v>781</v>
      </c>
      <c r="B56" s="1545"/>
      <c r="C56" s="1545"/>
      <c r="D56" s="1545"/>
      <c r="E56" s="1545"/>
      <c r="F56" s="1545"/>
    </row>
    <row r="57" spans="1:10" s="222" customFormat="1" x14ac:dyDescent="0.2">
      <c r="B57" s="223"/>
    </row>
    <row r="58" spans="1:10" s="222" customFormat="1" ht="25.5" x14ac:dyDescent="0.2">
      <c r="A58" s="225" t="s">
        <v>60</v>
      </c>
      <c r="B58" s="327" t="s">
        <v>513</v>
      </c>
      <c r="C58" s="1560" t="s">
        <v>987</v>
      </c>
      <c r="D58" s="1561"/>
      <c r="E58" s="1561"/>
      <c r="F58" s="1561"/>
    </row>
    <row r="59" spans="1:10" s="222" customFormat="1" x14ac:dyDescent="0.2">
      <c r="A59" s="675"/>
      <c r="B59" s="358"/>
      <c r="C59" s="288"/>
      <c r="D59" s="288"/>
      <c r="E59" s="288"/>
      <c r="F59" s="288"/>
      <c r="G59" s="288"/>
      <c r="H59" s="288"/>
      <c r="I59" s="288"/>
      <c r="J59" s="63"/>
    </row>
    <row r="60" spans="1:10" x14ac:dyDescent="0.2">
      <c r="A60" s="676"/>
      <c r="B60" s="61"/>
      <c r="C60" s="63"/>
      <c r="D60" s="63"/>
      <c r="E60" s="63"/>
      <c r="F60" s="63"/>
      <c r="G60" s="63"/>
      <c r="H60" s="63"/>
      <c r="I60" s="288"/>
      <c r="J60" s="63"/>
    </row>
    <row r="61" spans="1:10" x14ac:dyDescent="0.2">
      <c r="A61" s="676"/>
      <c r="B61" s="61"/>
      <c r="C61" s="63"/>
      <c r="D61" s="63"/>
      <c r="E61" s="63"/>
      <c r="F61" s="63"/>
      <c r="G61" s="63"/>
      <c r="H61" s="63"/>
      <c r="I61" s="288"/>
      <c r="J61" s="63"/>
    </row>
    <row r="62" spans="1:10" x14ac:dyDescent="0.2">
      <c r="A62" s="676"/>
      <c r="B62" s="61"/>
      <c r="C62" s="63"/>
      <c r="D62" s="63"/>
      <c r="E62" s="63"/>
      <c r="F62" s="63"/>
      <c r="G62" s="63"/>
      <c r="H62" s="63"/>
      <c r="I62" s="288"/>
      <c r="J62" s="63"/>
    </row>
    <row r="63" spans="1:10" x14ac:dyDescent="0.2">
      <c r="A63" s="676"/>
      <c r="B63" s="61"/>
      <c r="C63" s="63"/>
      <c r="D63" s="63"/>
      <c r="E63" s="63"/>
      <c r="F63" s="63"/>
      <c r="G63" s="63"/>
      <c r="H63" s="63"/>
      <c r="I63" s="288"/>
      <c r="J63" s="63"/>
    </row>
    <row r="64" spans="1:10" x14ac:dyDescent="0.2">
      <c r="A64" s="676"/>
      <c r="B64" s="61"/>
      <c r="C64" s="63"/>
      <c r="D64" s="63"/>
      <c r="E64" s="63"/>
      <c r="F64" s="63"/>
      <c r="G64" s="63"/>
      <c r="H64" s="63"/>
      <c r="I64" s="288"/>
      <c r="J64" s="63"/>
    </row>
    <row r="65" spans="1:10" x14ac:dyDescent="0.2">
      <c r="A65" s="676"/>
      <c r="B65" s="61"/>
      <c r="C65" s="63"/>
      <c r="D65" s="63"/>
      <c r="E65" s="63"/>
      <c r="F65" s="63"/>
      <c r="G65" s="63"/>
      <c r="H65" s="63"/>
      <c r="I65" s="288"/>
      <c r="J65" s="63"/>
    </row>
    <row r="66" spans="1:10" x14ac:dyDescent="0.2">
      <c r="A66" s="676"/>
      <c r="B66" s="61"/>
      <c r="C66" s="63"/>
      <c r="D66" s="63"/>
      <c r="E66" s="63"/>
      <c r="F66" s="63"/>
      <c r="G66" s="63"/>
      <c r="H66" s="63"/>
      <c r="I66" s="288"/>
      <c r="J66" s="63"/>
    </row>
    <row r="67" spans="1:10" x14ac:dyDescent="0.2">
      <c r="A67" s="676"/>
      <c r="B67" s="61"/>
      <c r="C67" s="63"/>
      <c r="D67" s="63"/>
      <c r="E67" s="63"/>
      <c r="F67" s="63"/>
      <c r="G67" s="63"/>
      <c r="H67" s="63"/>
      <c r="I67" s="288"/>
      <c r="J67" s="63"/>
    </row>
    <row r="68" spans="1:10" x14ac:dyDescent="0.2">
      <c r="A68" s="676"/>
      <c r="B68" s="61"/>
      <c r="C68" s="63"/>
      <c r="D68" s="63"/>
      <c r="E68" s="63"/>
      <c r="F68" s="63"/>
      <c r="G68" s="63"/>
      <c r="H68" s="63"/>
      <c r="I68" s="288"/>
      <c r="J68" s="63"/>
    </row>
    <row r="69" spans="1:10" x14ac:dyDescent="0.2">
      <c r="A69" s="676"/>
      <c r="B69" s="61"/>
      <c r="C69" s="63"/>
      <c r="D69" s="63"/>
      <c r="E69" s="63"/>
      <c r="F69" s="63"/>
      <c r="G69" s="63"/>
      <c r="H69" s="63"/>
      <c r="I69" s="288"/>
      <c r="J69" s="63"/>
    </row>
    <row r="70" spans="1:10" x14ac:dyDescent="0.2">
      <c r="A70" s="676"/>
      <c r="B70" s="61"/>
      <c r="C70" s="63"/>
      <c r="D70" s="63"/>
      <c r="E70" s="63"/>
      <c r="F70" s="63"/>
      <c r="G70" s="63"/>
      <c r="H70" s="63"/>
      <c r="I70" s="288"/>
      <c r="J70" s="63"/>
    </row>
    <row r="71" spans="1:10" x14ac:dyDescent="0.2">
      <c r="A71" s="676"/>
      <c r="B71" s="61"/>
      <c r="C71" s="63"/>
      <c r="D71" s="63"/>
      <c r="E71" s="63"/>
      <c r="F71" s="63"/>
      <c r="G71" s="63"/>
      <c r="H71" s="63"/>
      <c r="I71" s="288"/>
      <c r="J71" s="63"/>
    </row>
    <row r="72" spans="1:10" x14ac:dyDescent="0.2">
      <c r="A72" s="676"/>
      <c r="B72" s="61"/>
      <c r="C72" s="63"/>
      <c r="D72" s="63"/>
      <c r="E72" s="63"/>
      <c r="F72" s="63"/>
      <c r="G72" s="63"/>
      <c r="H72" s="63"/>
      <c r="I72" s="288"/>
      <c r="J72" s="63"/>
    </row>
    <row r="73" spans="1:10" x14ac:dyDescent="0.2">
      <c r="A73" s="676"/>
      <c r="B73" s="61"/>
      <c r="C73" s="63"/>
      <c r="D73" s="63"/>
      <c r="E73" s="63"/>
      <c r="F73" s="63"/>
      <c r="G73" s="63"/>
      <c r="H73" s="63"/>
      <c r="I73" s="288"/>
      <c r="J73" s="63"/>
    </row>
    <row r="76" spans="1:10" hidden="1" x14ac:dyDescent="0.2">
      <c r="A76" s="58" t="s">
        <v>613</v>
      </c>
      <c r="B76" s="58" t="s">
        <v>612</v>
      </c>
      <c r="D76" s="828" t="s">
        <v>1291</v>
      </c>
    </row>
    <row r="77" spans="1:10" hidden="1" x14ac:dyDescent="0.2">
      <c r="A77" s="58" t="s">
        <v>396</v>
      </c>
      <c r="B77" s="58" t="s">
        <v>397</v>
      </c>
      <c r="D77" s="828" t="s">
        <v>702</v>
      </c>
    </row>
    <row r="78" spans="1:10" hidden="1" x14ac:dyDescent="0.2">
      <c r="A78" s="58" t="s">
        <v>496</v>
      </c>
      <c r="B78" s="58" t="s">
        <v>396</v>
      </c>
      <c r="D78" s="828" t="s">
        <v>496</v>
      </c>
    </row>
  </sheetData>
  <sheetProtection algorithmName="SHA-512" hashValue="mgKiYWy0IhUei+p8mwre3Y7Krfoqlk6BrJmJuYNksphVu5B46Ki28kNXpZDETT82kQvPwykPA8HVfXdA1+Vt1w==" saltValue="mTEBN8JbSmN8dIKolSwxcQ==" spinCount="100000" sheet="1" objects="1" scenarios="1"/>
  <mergeCells count="14">
    <mergeCell ref="C1:F1"/>
    <mergeCell ref="C58:F58"/>
    <mergeCell ref="C19:F19"/>
    <mergeCell ref="C6:F6"/>
    <mergeCell ref="A10:F10"/>
    <mergeCell ref="A11:F11"/>
    <mergeCell ref="A14:F14"/>
    <mergeCell ref="C2:F2"/>
    <mergeCell ref="C3:F3"/>
    <mergeCell ref="C4:F4"/>
    <mergeCell ref="C5:F5"/>
    <mergeCell ref="A56:F56"/>
    <mergeCell ref="A37:F37"/>
    <mergeCell ref="C39:F39"/>
  </mergeCells>
  <phoneticPr fontId="12" type="noConversion"/>
  <dataValidations count="5">
    <dataValidation type="whole" allowBlank="1" showInputMessage="1" showErrorMessage="1" error="Enter whole number." sqref="C20:J34 C59:J73 C40:J54" xr:uid="{00000000-0002-0000-1300-000000000000}">
      <formula1>-100000000000000000</formula1>
      <formula2>1000000000000000000</formula2>
    </dataValidation>
    <dataValidation type="list" allowBlank="1" showInputMessage="1" showErrorMessage="1" error="Use the drop-down list to enter the applicable Combining FST line item" sqref="B20:B34" xr:uid="{00000000-0002-0000-1300-000001000000}">
      <formula1>$B$77:$B$78</formula1>
    </dataValidation>
    <dataValidation type="list" allowBlank="1" showInputMessage="1" showErrorMessage="1" error="Use the drop-down list to enter the applicable Combining FST line item" sqref="B59:B73" xr:uid="{00000000-0002-0000-1300-000002000000}">
      <formula1>$A$77:$A$78</formula1>
    </dataValidation>
    <dataValidation type="whole" allowBlank="1" showInputMessage="1" showErrorMessage="1" error="Enter a 3-digit agency control number." sqref="C1:F1" xr:uid="{00000000-0002-0000-1300-000003000000}">
      <formula1>100</formula1>
      <formula2>999</formula2>
    </dataValidation>
    <dataValidation type="list" allowBlank="1" showInputMessage="1" showErrorMessage="1" error="Use the drop-down list to enter the applicable Combining FST line item" sqref="B40:B54" xr:uid="{00000000-0002-0000-1300-000004000000}">
      <formula1>$D$77:$D$78</formula1>
    </dataValidation>
  </dataValidations>
  <pageMargins left="0.95" right="0.7" top="1" bottom="0.75" header="0.3" footer="0.3"/>
  <pageSetup paperSize="5" scale="72" fitToHeight="0" pageOrder="overThenDown" orientation="landscape" cellComments="asDisplayed" r:id="rId1"/>
  <headerFooter alignWithMargins="0">
    <oddHeader>&amp;C&amp;"Arial,Bold"Attachment HE-10
Financial Statement Template
&amp;A</oddHeader>
    <oddFooter>&amp;L&amp;"Arial,Regular"&amp;F \ &amp;A&amp;R&amp;"Arial,Regular"Page &amp;P</oddFooter>
  </headerFooter>
  <rowBreaks count="2" manualBreakCount="2">
    <brk id="36" max="16383" man="1"/>
    <brk id="55"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93"/>
  <sheetViews>
    <sheetView showGridLines="0" zoomScaleNormal="100" zoomScaleSheetLayoutView="75" workbookViewId="0">
      <pane xSplit="2" ySplit="15" topLeftCell="C17" activePane="bottomRight" state="frozen"/>
      <selection pane="topRight" activeCell="C1" sqref="C1"/>
      <selection pane="bottomLeft" activeCell="A16" sqref="A16"/>
      <selection pane="bottomRight"/>
    </sheetView>
  </sheetViews>
  <sheetFormatPr defaultColWidth="10.6640625" defaultRowHeight="12.75" x14ac:dyDescent="0.2"/>
  <cols>
    <col min="1" max="1" width="42.6640625" style="58" customWidth="1"/>
    <col min="2" max="2" width="5.5" style="58" customWidth="1"/>
    <col min="3" max="14" width="16.83203125" style="58" customWidth="1"/>
    <col min="15" max="16384" width="10.6640625" style="58"/>
  </cols>
  <sheetData>
    <row r="1" spans="1:14" x14ac:dyDescent="0.2">
      <c r="A1" s="824" t="s">
        <v>1155</v>
      </c>
      <c r="C1" s="1546">
        <f>FST!E1</f>
        <v>0</v>
      </c>
      <c r="D1" s="1569"/>
      <c r="E1" s="1569"/>
      <c r="F1" s="1569"/>
    </row>
    <row r="2" spans="1:14" s="33" customFormat="1" ht="39" customHeight="1" x14ac:dyDescent="0.2">
      <c r="A2" s="824" t="s">
        <v>770</v>
      </c>
      <c r="B2" s="31"/>
      <c r="C2" s="1546" t="str">
        <f>FST!E2</f>
        <v/>
      </c>
      <c r="D2" s="1569"/>
      <c r="E2" s="1569"/>
      <c r="F2" s="1569"/>
      <c r="G2" s="285"/>
      <c r="H2" s="285"/>
      <c r="I2" s="285"/>
      <c r="J2" s="285"/>
    </row>
    <row r="3" spans="1:14" s="33" customFormat="1" x14ac:dyDescent="0.2">
      <c r="A3" s="824" t="s">
        <v>771</v>
      </c>
      <c r="B3" s="220"/>
      <c r="C3" s="1556">
        <f>FST!E3</f>
        <v>0</v>
      </c>
      <c r="D3" s="1570"/>
      <c r="E3" s="1570"/>
      <c r="F3" s="1570"/>
      <c r="G3" s="285"/>
      <c r="H3" s="285"/>
      <c r="I3" s="285"/>
      <c r="J3" s="285"/>
    </row>
    <row r="4" spans="1:14" s="33" customFormat="1" x14ac:dyDescent="0.2">
      <c r="A4" s="824" t="s">
        <v>773</v>
      </c>
      <c r="B4" s="220"/>
      <c r="C4" s="1558">
        <f>FST!E4</f>
        <v>0</v>
      </c>
      <c r="D4" s="1571"/>
      <c r="E4" s="1571"/>
      <c r="F4" s="1571"/>
      <c r="G4" s="285"/>
      <c r="H4" s="285"/>
      <c r="I4" s="285"/>
      <c r="J4" s="285"/>
    </row>
    <row r="5" spans="1:14" s="33" customFormat="1" x14ac:dyDescent="0.2">
      <c r="A5" s="825" t="s">
        <v>774</v>
      </c>
      <c r="B5" s="220"/>
      <c r="C5" s="1556">
        <f>FST!E5</f>
        <v>0</v>
      </c>
      <c r="D5" s="1570"/>
      <c r="E5" s="1570"/>
      <c r="F5" s="1570"/>
      <c r="G5" s="285"/>
      <c r="H5" s="285"/>
      <c r="I5" s="285"/>
      <c r="J5" s="285"/>
    </row>
    <row r="6" spans="1:14" s="33" customFormat="1" x14ac:dyDescent="0.2">
      <c r="A6" s="826" t="s">
        <v>775</v>
      </c>
      <c r="B6" s="220"/>
      <c r="C6" s="1553">
        <f>FST!E6</f>
        <v>0</v>
      </c>
      <c r="D6" s="1572"/>
      <c r="E6" s="1572"/>
      <c r="F6" s="1572"/>
      <c r="G6" s="286"/>
      <c r="H6" s="286"/>
      <c r="I6" s="286"/>
      <c r="J6" s="286"/>
    </row>
    <row r="7" spans="1:14" s="33" customFormat="1" ht="12" x14ac:dyDescent="0.2">
      <c r="A7" s="67" t="s">
        <v>497</v>
      </c>
      <c r="B7" s="34"/>
    </row>
    <row r="8" spans="1:14" s="33" customFormat="1" ht="12" x14ac:dyDescent="0.2">
      <c r="A8" s="827"/>
      <c r="B8" s="34"/>
    </row>
    <row r="9" spans="1:14" s="33" customFormat="1" ht="6" customHeight="1" x14ac:dyDescent="0.2">
      <c r="A9" s="827"/>
      <c r="B9" s="34"/>
    </row>
    <row r="10" spans="1:14" s="33" customFormat="1" ht="15.75" customHeight="1" x14ac:dyDescent="0.2">
      <c r="A10" s="1263" t="s">
        <v>53</v>
      </c>
      <c r="B10" s="1568"/>
      <c r="C10" s="1568"/>
      <c r="D10" s="1568"/>
      <c r="E10" s="1568"/>
      <c r="F10" s="1568"/>
      <c r="G10" s="976"/>
      <c r="H10" s="976"/>
      <c r="I10" s="976"/>
      <c r="J10" s="976"/>
      <c r="K10" s="976"/>
    </row>
    <row r="11" spans="1:14" s="1141" customFormat="1" ht="27" customHeight="1" x14ac:dyDescent="0.2">
      <c r="A11" s="1573" t="s">
        <v>1361</v>
      </c>
      <c r="B11" s="1574"/>
      <c r="C11" s="1574"/>
      <c r="D11" s="1574"/>
      <c r="E11" s="1574"/>
      <c r="F11" s="1574"/>
    </row>
    <row r="12" spans="1:14" s="33" customFormat="1" ht="0.75" customHeight="1" x14ac:dyDescent="0.2">
      <c r="B12" s="34"/>
    </row>
    <row r="13" spans="1:14" s="33" customFormat="1" ht="153.75" customHeight="1" x14ac:dyDescent="0.2">
      <c r="A13" s="1575" t="s">
        <v>1850</v>
      </c>
      <c r="B13" s="1576"/>
      <c r="C13" s="1576"/>
      <c r="D13" s="1576"/>
      <c r="E13" s="1576"/>
      <c r="F13" s="1576"/>
      <c r="G13" s="1576"/>
      <c r="H13" s="1576"/>
      <c r="I13" s="1576"/>
      <c r="J13" s="1576"/>
      <c r="K13" s="1576"/>
      <c r="L13" s="1576"/>
      <c r="M13" s="1576"/>
      <c r="N13" s="1577"/>
    </row>
    <row r="14" spans="1:14" ht="73.5" customHeight="1" x14ac:dyDescent="0.2">
      <c r="A14" s="58" t="s">
        <v>301</v>
      </c>
      <c r="B14" s="224"/>
      <c r="C14" s="1138">
        <f>'Combining FST'!G19</f>
        <v>0</v>
      </c>
      <c r="D14" s="1138">
        <f>'Combining FST'!H19</f>
        <v>0</v>
      </c>
      <c r="E14" s="1138">
        <f>'Combining FST'!I19</f>
        <v>0</v>
      </c>
      <c r="F14" s="1138">
        <f>'Combining FST'!J19</f>
        <v>0</v>
      </c>
      <c r="G14" s="1138">
        <f>'Combining FST'!K19</f>
        <v>0</v>
      </c>
      <c r="H14" s="1138">
        <f>'Combining FST'!L19</f>
        <v>0</v>
      </c>
      <c r="I14" s="1138">
        <f>'Combining FST'!M19</f>
        <v>0</v>
      </c>
      <c r="J14" s="1138">
        <f>'Combining FST'!N19</f>
        <v>0</v>
      </c>
      <c r="K14" s="1139" t="s">
        <v>364</v>
      </c>
      <c r="L14" s="1140" t="s">
        <v>514</v>
      </c>
      <c r="M14" s="1140" t="s">
        <v>611</v>
      </c>
      <c r="N14" s="1140" t="s">
        <v>593</v>
      </c>
    </row>
    <row r="15" spans="1:14" x14ac:dyDescent="0.2">
      <c r="A15" s="58" t="s">
        <v>184</v>
      </c>
      <c r="B15" s="224"/>
      <c r="C15" s="537">
        <f>'Combining FST'!G20</f>
        <v>0</v>
      </c>
      <c r="D15" s="537">
        <f>'Combining FST'!H20</f>
        <v>0</v>
      </c>
      <c r="E15" s="537">
        <f>'Combining FST'!I20</f>
        <v>0</v>
      </c>
      <c r="F15" s="537">
        <f>'Combining FST'!J20</f>
        <v>0</v>
      </c>
      <c r="G15" s="537">
        <f>'Combining FST'!K20</f>
        <v>0</v>
      </c>
      <c r="H15" s="537">
        <f>'Combining FST'!L20</f>
        <v>0</v>
      </c>
      <c r="I15" s="537">
        <f>'Combining FST'!M20</f>
        <v>0</v>
      </c>
      <c r="J15" s="537">
        <f>'Combining FST'!N20</f>
        <v>0</v>
      </c>
      <c r="K15" s="59"/>
    </row>
    <row r="16" spans="1:14" ht="6" customHeight="1" x14ac:dyDescent="0.2">
      <c r="B16" s="224"/>
      <c r="C16" s="229"/>
      <c r="D16" s="229"/>
      <c r="E16" s="229"/>
      <c r="F16" s="229"/>
      <c r="G16" s="229"/>
      <c r="H16" s="229"/>
      <c r="I16" s="229"/>
      <c r="J16" s="229"/>
      <c r="K16" s="59"/>
    </row>
    <row r="17" spans="1:14" x14ac:dyDescent="0.2">
      <c r="A17" s="1550" t="s">
        <v>466</v>
      </c>
      <c r="B17" s="1568"/>
      <c r="C17" s="1568"/>
      <c r="D17" s="1568"/>
      <c r="E17" s="1568"/>
    </row>
    <row r="18" spans="1:14" ht="6.75" customHeight="1" x14ac:dyDescent="0.2">
      <c r="K18" s="59"/>
      <c r="L18" s="229"/>
      <c r="M18" s="229"/>
      <c r="N18" s="229"/>
    </row>
    <row r="19" spans="1:14" x14ac:dyDescent="0.2">
      <c r="A19" s="233" t="s">
        <v>710</v>
      </c>
      <c r="B19" s="250"/>
      <c r="C19" s="288"/>
      <c r="D19" s="288"/>
      <c r="E19" s="288"/>
      <c r="F19" s="288"/>
      <c r="G19" s="288"/>
      <c r="H19" s="288"/>
      <c r="I19" s="288"/>
      <c r="J19" s="288"/>
      <c r="K19" s="235">
        <f>SUM(C19:J19)</f>
        <v>0</v>
      </c>
      <c r="L19" s="290"/>
      <c r="M19" s="290"/>
      <c r="N19" s="231">
        <f>SUM(K19:M19)</f>
        <v>0</v>
      </c>
    </row>
    <row r="20" spans="1:14" x14ac:dyDescent="0.2">
      <c r="A20" s="233" t="s">
        <v>691</v>
      </c>
      <c r="B20" s="250"/>
      <c r="C20" s="288"/>
      <c r="D20" s="288"/>
      <c r="E20" s="288"/>
      <c r="F20" s="288"/>
      <c r="G20" s="288"/>
      <c r="H20" s="288"/>
      <c r="I20" s="288"/>
      <c r="J20" s="288"/>
      <c r="K20" s="235">
        <f>SUM(C20:J20)</f>
        <v>0</v>
      </c>
      <c r="L20" s="290"/>
      <c r="M20" s="290"/>
      <c r="N20" s="231">
        <f>SUM(K20:M20)</f>
        <v>0</v>
      </c>
    </row>
    <row r="21" spans="1:14" x14ac:dyDescent="0.2">
      <c r="A21" s="233" t="s">
        <v>693</v>
      </c>
      <c r="B21" s="360"/>
      <c r="C21" s="288"/>
      <c r="D21" s="288"/>
      <c r="E21" s="288"/>
      <c r="F21" s="288"/>
      <c r="G21" s="288"/>
      <c r="H21" s="288"/>
      <c r="I21" s="288"/>
      <c r="J21" s="288"/>
      <c r="K21" s="235">
        <f>SUM(C21:J21)</f>
        <v>0</v>
      </c>
      <c r="L21" s="290"/>
      <c r="M21" s="290"/>
      <c r="N21" s="231">
        <f>SUM(K21:M21)</f>
        <v>0</v>
      </c>
    </row>
    <row r="22" spans="1:14" x14ac:dyDescent="0.2">
      <c r="A22" s="233" t="s">
        <v>270</v>
      </c>
      <c r="B22" s="360"/>
      <c r="C22" s="361"/>
      <c r="D22" s="361"/>
      <c r="E22" s="361"/>
      <c r="F22" s="361"/>
      <c r="G22" s="361"/>
      <c r="H22" s="361"/>
      <c r="I22" s="361"/>
      <c r="J22" s="361"/>
      <c r="K22" s="361"/>
      <c r="L22" s="361"/>
      <c r="M22" s="361"/>
      <c r="N22" s="62"/>
    </row>
    <row r="23" spans="1:14" ht="27.75" customHeight="1" x14ac:dyDescent="0.2">
      <c r="A23" s="1095" t="s">
        <v>1712</v>
      </c>
      <c r="B23" s="360"/>
      <c r="C23" s="288"/>
      <c r="D23" s="288"/>
      <c r="E23" s="288"/>
      <c r="F23" s="288"/>
      <c r="G23" s="288"/>
      <c r="H23" s="288"/>
      <c r="I23" s="288"/>
      <c r="J23" s="288"/>
      <c r="K23" s="235">
        <f>SUM(C23:J23)</f>
        <v>0</v>
      </c>
      <c r="L23" s="288"/>
      <c r="M23" s="288"/>
      <c r="N23" s="231">
        <f>SUM(K23:M23)</f>
        <v>0</v>
      </c>
    </row>
    <row r="24" spans="1:14" ht="27.75" customHeight="1" x14ac:dyDescent="0.2">
      <c r="A24" s="1564"/>
      <c r="B24" s="1565"/>
      <c r="C24" s="288"/>
      <c r="D24" s="288"/>
      <c r="E24" s="288"/>
      <c r="F24" s="288"/>
      <c r="G24" s="288"/>
      <c r="H24" s="288"/>
      <c r="I24" s="288"/>
      <c r="J24" s="288"/>
      <c r="K24" s="235">
        <f>SUM(C24:J24)</f>
        <v>0</v>
      </c>
      <c r="L24" s="288"/>
      <c r="M24" s="288"/>
      <c r="N24" s="231">
        <f>SUM(K24:M24)</f>
        <v>0</v>
      </c>
    </row>
    <row r="25" spans="1:14" ht="27.75" customHeight="1" x14ac:dyDescent="0.2">
      <c r="A25" s="1564"/>
      <c r="B25" s="1565"/>
      <c r="C25" s="288"/>
      <c r="D25" s="288"/>
      <c r="E25" s="288"/>
      <c r="F25" s="288"/>
      <c r="G25" s="288"/>
      <c r="H25" s="288"/>
      <c r="I25" s="288"/>
      <c r="J25" s="288"/>
      <c r="K25" s="235">
        <f>SUM(C25:J25)</f>
        <v>0</v>
      </c>
      <c r="L25" s="288"/>
      <c r="M25" s="288"/>
      <c r="N25" s="231">
        <f>SUM(K25:M25)</f>
        <v>0</v>
      </c>
    </row>
    <row r="26" spans="1:14" x14ac:dyDescent="0.2">
      <c r="A26" s="233" t="s">
        <v>185</v>
      </c>
      <c r="B26" s="250"/>
      <c r="C26" s="231">
        <f>SUM(C19:C25)</f>
        <v>0</v>
      </c>
      <c r="D26" s="231">
        <f>SUM(D19:D25)</f>
        <v>0</v>
      </c>
      <c r="E26" s="231">
        <f t="shared" ref="E26:J26" si="0">SUM(E19:E25)</f>
        <v>0</v>
      </c>
      <c r="F26" s="231">
        <f t="shared" si="0"/>
        <v>0</v>
      </c>
      <c r="G26" s="231">
        <f t="shared" si="0"/>
        <v>0</v>
      </c>
      <c r="H26" s="231">
        <f t="shared" si="0"/>
        <v>0</v>
      </c>
      <c r="I26" s="231">
        <f t="shared" si="0"/>
        <v>0</v>
      </c>
      <c r="J26" s="231">
        <f t="shared" si="0"/>
        <v>0</v>
      </c>
      <c r="K26" s="231">
        <f>SUM(K19:K25)</f>
        <v>0</v>
      </c>
      <c r="L26" s="231">
        <f>SUM(L19:L25)</f>
        <v>0</v>
      </c>
      <c r="M26" s="231">
        <f>SUM(M19:M25)</f>
        <v>0</v>
      </c>
      <c r="N26" s="231">
        <f>SUM(N19:N25)</f>
        <v>0</v>
      </c>
    </row>
    <row r="27" spans="1:14" ht="25.5" x14ac:dyDescent="0.2">
      <c r="A27" s="972" t="s">
        <v>711</v>
      </c>
      <c r="B27" s="250"/>
      <c r="C27" s="245"/>
      <c r="D27" s="245"/>
      <c r="E27" s="245"/>
      <c r="F27" s="245"/>
      <c r="G27" s="245"/>
      <c r="H27" s="245"/>
      <c r="I27" s="245"/>
      <c r="J27" s="245"/>
      <c r="K27" s="235">
        <f>SUM(C27:J27)</f>
        <v>0</v>
      </c>
      <c r="L27" s="254"/>
      <c r="M27" s="254"/>
      <c r="N27" s="231">
        <f>SUM(K27:M27)</f>
        <v>0</v>
      </c>
    </row>
    <row r="28" spans="1:14" ht="13.5" thickBot="1" x14ac:dyDescent="0.25">
      <c r="A28" s="1095" t="s">
        <v>1851</v>
      </c>
      <c r="B28" s="250"/>
      <c r="C28" s="359">
        <f>IF(SUM(C26:C27)='Combining FST'!G26,SUM(C26:C27),"ERROR")</f>
        <v>0</v>
      </c>
      <c r="D28" s="359">
        <f>IF(SUM(D26:D27)='Combining FST'!H26,SUM(D26:D27),"ERROR")</f>
        <v>0</v>
      </c>
      <c r="E28" s="232">
        <f>IF(SUM(E26:E27)='Combining FST'!I26,SUM(E26:E27),"ERROR")</f>
        <v>0</v>
      </c>
      <c r="F28" s="232">
        <f>IF(SUM(F26:F27)='Combining FST'!J26,SUM(F26:F27),"ERROR")</f>
        <v>0</v>
      </c>
      <c r="G28" s="232">
        <f>IF(SUM(G26:G27)='Combining FST'!K26,SUM(G26:G27),"ERROR")</f>
        <v>0</v>
      </c>
      <c r="H28" s="232">
        <f>IF(SUM(H26:H27)='Combining FST'!L26,SUM(H26:H27),"ERROR")</f>
        <v>0</v>
      </c>
      <c r="I28" s="232">
        <f>IF(SUM(I26:I27)='Combining FST'!M26,SUM(I26:I27),"ERROR")</f>
        <v>0</v>
      </c>
      <c r="J28" s="232">
        <f>IF(SUM(J26:J27)='Combining FST'!N26,SUM(J26:J27),"ERROR")</f>
        <v>0</v>
      </c>
      <c r="K28" s="232">
        <f>IF(SUM(K26:K27)='Combining FST'!O26,SUM(K26:K27),"ERROR")</f>
        <v>0</v>
      </c>
      <c r="L28" s="232">
        <f>IF(SUM(L26:L27)='Combining FST'!P26,SUM(L26:L27),"ERROR")</f>
        <v>0</v>
      </c>
      <c r="M28" s="232">
        <f>IF(SUM(M26:M27)='Elimination Entries to FST'!I56,SUM(M26:M27),"ERROR")</f>
        <v>0</v>
      </c>
      <c r="N28" s="232">
        <f>IF(SUM(N26:N27)=FST!H56+'Elimination Entries to FST'!I56,SUM(N26:N27),"ERROR")</f>
        <v>0</v>
      </c>
    </row>
    <row r="29" spans="1:14" ht="13.5" thickTop="1" x14ac:dyDescent="0.2">
      <c r="A29" s="406"/>
      <c r="C29" s="227" t="s">
        <v>636</v>
      </c>
      <c r="D29" s="227" t="s">
        <v>595</v>
      </c>
      <c r="E29" s="227" t="s">
        <v>636</v>
      </c>
      <c r="F29" s="227" t="s">
        <v>595</v>
      </c>
      <c r="G29" s="227" t="s">
        <v>636</v>
      </c>
      <c r="H29" s="227" t="s">
        <v>595</v>
      </c>
      <c r="I29" s="227" t="s">
        <v>636</v>
      </c>
      <c r="J29" s="227" t="s">
        <v>595</v>
      </c>
      <c r="K29" s="227" t="s">
        <v>636</v>
      </c>
      <c r="L29" s="227" t="s">
        <v>636</v>
      </c>
      <c r="M29" s="227" t="s">
        <v>637</v>
      </c>
      <c r="N29" s="227" t="s">
        <v>220</v>
      </c>
    </row>
    <row r="30" spans="1:14" ht="21" customHeight="1" x14ac:dyDescent="0.2">
      <c r="B30" s="451" t="s">
        <v>819</v>
      </c>
      <c r="C30" s="452">
        <f>SUM(C26:C27)</f>
        <v>0</v>
      </c>
      <c r="D30" s="452">
        <f t="shared" ref="D30:M30" si="1">SUM(D26:D27)</f>
        <v>0</v>
      </c>
      <c r="E30" s="452">
        <f t="shared" si="1"/>
        <v>0</v>
      </c>
      <c r="F30" s="452">
        <f t="shared" si="1"/>
        <v>0</v>
      </c>
      <c r="G30" s="452">
        <f t="shared" si="1"/>
        <v>0</v>
      </c>
      <c r="H30" s="452">
        <f t="shared" si="1"/>
        <v>0</v>
      </c>
      <c r="I30" s="452">
        <f t="shared" si="1"/>
        <v>0</v>
      </c>
      <c r="J30" s="452">
        <f t="shared" si="1"/>
        <v>0</v>
      </c>
      <c r="K30" s="452">
        <f t="shared" si="1"/>
        <v>0</v>
      </c>
      <c r="L30" s="452">
        <f t="shared" si="1"/>
        <v>0</v>
      </c>
      <c r="M30" s="452">
        <f t="shared" si="1"/>
        <v>0</v>
      </c>
      <c r="N30" s="452">
        <f>SUM(N26:N27)</f>
        <v>0</v>
      </c>
    </row>
    <row r="31" spans="1:14" x14ac:dyDescent="0.2">
      <c r="B31" s="451" t="s">
        <v>695</v>
      </c>
      <c r="C31" s="452">
        <f>'Combining FST'!G26-'TAB F3,  Receivables '!C30</f>
        <v>0</v>
      </c>
      <c r="D31" s="452">
        <f>'Combining FST'!H26-'TAB F3,  Receivables '!D30</f>
        <v>0</v>
      </c>
      <c r="E31" s="452">
        <f>'Combining FST'!I26-'TAB F3,  Receivables '!E30</f>
        <v>0</v>
      </c>
      <c r="F31" s="452">
        <f>'Combining FST'!J26-'TAB F3,  Receivables '!F30</f>
        <v>0</v>
      </c>
      <c r="G31" s="452">
        <f>'Combining FST'!K26-'TAB F3,  Receivables '!G30</f>
        <v>0</v>
      </c>
      <c r="H31" s="452">
        <f>'Combining FST'!L26-'TAB F3,  Receivables '!H30</f>
        <v>0</v>
      </c>
      <c r="I31" s="452">
        <f>'Combining FST'!M26-'TAB F3,  Receivables '!I30</f>
        <v>0</v>
      </c>
      <c r="J31" s="452">
        <f>'Combining FST'!N26-'TAB F3,  Receivables '!J30</f>
        <v>0</v>
      </c>
      <c r="K31" s="452">
        <f>'Combining FST'!O26-'TAB F3,  Receivables '!K30</f>
        <v>0</v>
      </c>
      <c r="L31" s="452">
        <f>'Combining FST'!P26-'TAB F3,  Receivables '!L30</f>
        <v>0</v>
      </c>
      <c r="M31" s="452">
        <f>'Elimination Entries to FST'!I56-'TAB F3,  Receivables '!M30</f>
        <v>0</v>
      </c>
      <c r="N31" s="452">
        <f>SUM(FST!H56,'Elimination Entries to FST'!I56)-'TAB F3,  Receivables '!N30</f>
        <v>0</v>
      </c>
    </row>
    <row r="32" spans="1:14" ht="39" customHeight="1" x14ac:dyDescent="0.2">
      <c r="A32" s="1552" t="s">
        <v>594</v>
      </c>
      <c r="B32" s="1552"/>
      <c r="C32" s="1552"/>
      <c r="D32" s="1552"/>
      <c r="E32" s="1552"/>
      <c r="F32" s="1552"/>
    </row>
    <row r="33" spans="1:14" ht="51.75" customHeight="1" x14ac:dyDescent="0.2">
      <c r="A33" s="1551" t="s">
        <v>21</v>
      </c>
      <c r="B33" s="1166"/>
      <c r="C33" s="1166"/>
      <c r="D33" s="1166"/>
      <c r="E33" s="1166"/>
      <c r="F33" s="1167"/>
    </row>
    <row r="34" spans="1:14" ht="54.75" customHeight="1" x14ac:dyDescent="0.2">
      <c r="A34" s="1552" t="s">
        <v>602</v>
      </c>
      <c r="B34" s="1552"/>
      <c r="C34" s="1552"/>
      <c r="D34" s="1552"/>
      <c r="E34" s="1552"/>
      <c r="F34" s="1552"/>
    </row>
    <row r="35" spans="1:14" ht="7.5" customHeight="1" x14ac:dyDescent="0.2"/>
    <row r="36" spans="1:14" ht="3.75" hidden="1" customHeight="1" x14ac:dyDescent="0.2"/>
    <row r="37" spans="1:14" ht="3.75" hidden="1" customHeight="1" x14ac:dyDescent="0.2"/>
    <row r="38" spans="1:14" ht="3.75" hidden="1" customHeight="1" x14ac:dyDescent="0.2"/>
    <row r="39" spans="1:14" ht="3.75" customHeight="1" x14ac:dyDescent="0.2"/>
    <row r="40" spans="1:14" ht="38.25" x14ac:dyDescent="0.2">
      <c r="A40" s="1137" t="s">
        <v>1852</v>
      </c>
      <c r="B40" s="250"/>
      <c r="C40" s="63"/>
      <c r="D40" s="63"/>
      <c r="E40" s="63"/>
      <c r="F40" s="63"/>
      <c r="G40" s="63"/>
      <c r="H40" s="63"/>
      <c r="I40" s="63"/>
      <c r="J40" s="63"/>
      <c r="K40" s="231">
        <f>SUM(C40:J40)</f>
        <v>0</v>
      </c>
      <c r="L40" s="63"/>
      <c r="M40" s="63"/>
      <c r="N40" s="255">
        <f>SUM(K40:M40)</f>
        <v>0</v>
      </c>
    </row>
    <row r="42" spans="1:14" ht="6.75" customHeight="1" x14ac:dyDescent="0.2">
      <c r="A42" s="829"/>
    </row>
    <row r="43" spans="1:14" ht="6.75" customHeight="1" x14ac:dyDescent="0.2"/>
    <row r="44" spans="1:14" ht="6.75" customHeight="1" x14ac:dyDescent="0.2"/>
    <row r="45" spans="1:14" ht="6.75" customHeight="1" x14ac:dyDescent="0.2"/>
    <row r="46" spans="1:14" ht="6.75" customHeight="1" x14ac:dyDescent="0.2"/>
    <row r="47" spans="1:14" s="222" customFormat="1" ht="25.5" customHeight="1" x14ac:dyDescent="0.2">
      <c r="A47" s="1544" t="s">
        <v>810</v>
      </c>
      <c r="B47" s="1568"/>
      <c r="C47" s="1568"/>
      <c r="D47" s="1568"/>
      <c r="E47" s="1568"/>
      <c r="F47" s="1568"/>
    </row>
    <row r="48" spans="1:14" ht="25.5" x14ac:dyDescent="0.2">
      <c r="A48" s="972" t="s">
        <v>709</v>
      </c>
      <c r="B48" s="250"/>
      <c r="C48" s="677"/>
      <c r="D48" s="677"/>
      <c r="E48" s="292"/>
      <c r="F48" s="677"/>
      <c r="G48" s="292"/>
      <c r="H48" s="292"/>
      <c r="I48" s="677"/>
      <c r="J48" s="292"/>
    </row>
    <row r="49" spans="1:14" s="222" customFormat="1" x14ac:dyDescent="0.2">
      <c r="A49" s="833"/>
      <c r="B49" s="223"/>
      <c r="K49" s="230"/>
    </row>
    <row r="50" spans="1:14" s="222" customFormat="1" x14ac:dyDescent="0.2">
      <c r="A50" s="251" t="s">
        <v>705</v>
      </c>
      <c r="B50" s="252"/>
      <c r="C50" s="288"/>
      <c r="D50" s="288"/>
      <c r="E50" s="288"/>
      <c r="F50" s="288"/>
      <c r="G50" s="288"/>
      <c r="H50" s="288"/>
      <c r="I50" s="288"/>
      <c r="J50" s="288"/>
      <c r="K50" s="235">
        <f>SUM(C50:J50)</f>
        <v>0</v>
      </c>
      <c r="L50" s="288"/>
      <c r="M50" s="288"/>
      <c r="N50" s="235">
        <f>SUM(K50:M50)</f>
        <v>0</v>
      </c>
    </row>
    <row r="51" spans="1:14" s="222" customFormat="1" ht="25.5" x14ac:dyDescent="0.2">
      <c r="A51" s="251" t="s">
        <v>706</v>
      </c>
      <c r="B51" s="252"/>
      <c r="C51" s="288"/>
      <c r="D51" s="288"/>
      <c r="E51" s="288"/>
      <c r="F51" s="288"/>
      <c r="G51" s="288"/>
      <c r="H51" s="288"/>
      <c r="I51" s="288"/>
      <c r="J51" s="288"/>
      <c r="K51" s="235">
        <f>SUM(C51:J51)</f>
        <v>0</v>
      </c>
      <c r="L51" s="288"/>
      <c r="M51" s="288"/>
      <c r="N51" s="235">
        <f>SUM(K51:M51)</f>
        <v>0</v>
      </c>
    </row>
    <row r="52" spans="1:14" s="222" customFormat="1" x14ac:dyDescent="0.2">
      <c r="A52" s="251" t="s">
        <v>707</v>
      </c>
      <c r="B52" s="252"/>
      <c r="C52" s="288"/>
      <c r="D52" s="288"/>
      <c r="E52" s="288"/>
      <c r="F52" s="288"/>
      <c r="G52" s="288"/>
      <c r="H52" s="288"/>
      <c r="I52" s="288"/>
      <c r="J52" s="288"/>
      <c r="K52" s="235">
        <f>SUM(C52:J52)</f>
        <v>0</v>
      </c>
      <c r="L52" s="288"/>
      <c r="M52" s="288"/>
      <c r="N52" s="235">
        <f>SUM(K52:M52)</f>
        <v>0</v>
      </c>
    </row>
    <row r="53" spans="1:14" x14ac:dyDescent="0.2">
      <c r="A53" s="233" t="s">
        <v>185</v>
      </c>
      <c r="B53" s="250"/>
      <c r="C53" s="231">
        <f>SUM(C50:C52)</f>
        <v>0</v>
      </c>
      <c r="D53" s="231">
        <f>SUM(D50:D52)</f>
        <v>0</v>
      </c>
      <c r="E53" s="231">
        <f t="shared" ref="E53:J53" si="2">SUM(E50:E52)</f>
        <v>0</v>
      </c>
      <c r="F53" s="231">
        <f t="shared" si="2"/>
        <v>0</v>
      </c>
      <c r="G53" s="231">
        <f t="shared" si="2"/>
        <v>0</v>
      </c>
      <c r="H53" s="231">
        <f t="shared" si="2"/>
        <v>0</v>
      </c>
      <c r="I53" s="231">
        <f t="shared" si="2"/>
        <v>0</v>
      </c>
      <c r="J53" s="231">
        <f t="shared" si="2"/>
        <v>0</v>
      </c>
      <c r="K53" s="231">
        <f>SUM(K50:K52)</f>
        <v>0</v>
      </c>
      <c r="L53" s="231">
        <f>SUM(L50:L52)</f>
        <v>0</v>
      </c>
      <c r="M53" s="231">
        <f>SUM(M50:M52)</f>
        <v>0</v>
      </c>
      <c r="N53" s="231">
        <f>SUM(N50:N52)</f>
        <v>0</v>
      </c>
    </row>
    <row r="54" spans="1:14" x14ac:dyDescent="0.2">
      <c r="A54" s="289" t="s">
        <v>975</v>
      </c>
      <c r="B54" s="256"/>
      <c r="C54" s="63"/>
      <c r="D54" s="63"/>
      <c r="E54" s="63"/>
      <c r="F54" s="63"/>
      <c r="G54" s="63"/>
      <c r="H54" s="63"/>
      <c r="I54" s="63"/>
      <c r="J54" s="63"/>
      <c r="K54" s="235">
        <f>SUM(C54:J54)</f>
        <v>0</v>
      </c>
      <c r="L54" s="63"/>
      <c r="M54" s="63"/>
      <c r="N54" s="235">
        <f>SUM(K54:M54)</f>
        <v>0</v>
      </c>
    </row>
    <row r="55" spans="1:14" ht="25.5" x14ac:dyDescent="0.2">
      <c r="A55" s="972" t="s">
        <v>708</v>
      </c>
      <c r="B55" s="250"/>
      <c r="C55" s="291"/>
      <c r="D55" s="291"/>
      <c r="E55" s="291"/>
      <c r="F55" s="291"/>
      <c r="G55" s="291"/>
      <c r="H55" s="291"/>
      <c r="I55" s="291"/>
      <c r="J55" s="291"/>
      <c r="K55" s="235">
        <f>SUM(C55:J55)</f>
        <v>0</v>
      </c>
      <c r="L55" s="245"/>
      <c r="M55" s="245"/>
      <c r="N55" s="235">
        <f>SUM(K55:M55)</f>
        <v>0</v>
      </c>
    </row>
    <row r="56" spans="1:14" ht="29.25" customHeight="1" thickBot="1" x14ac:dyDescent="0.25">
      <c r="A56" s="323" t="s">
        <v>820</v>
      </c>
      <c r="B56" s="257"/>
      <c r="C56" s="232">
        <f>IF(SUM(C53:C55)='Combining FST'!G27,SUM(C53:C55),"ERROR")</f>
        <v>0</v>
      </c>
      <c r="D56" s="232">
        <f>IF(SUM(D53:D55)='Combining FST'!H27,SUM(D53:D55),"ERROR")</f>
        <v>0</v>
      </c>
      <c r="E56" s="232">
        <f>IF(SUM(E53:E55)='Combining FST'!I27,SUM(E53:E55),"ERROR")</f>
        <v>0</v>
      </c>
      <c r="F56" s="232">
        <f>IF(SUM(F53:F55)='Combining FST'!J27,SUM(F53:F55),"ERROR")</f>
        <v>0</v>
      </c>
      <c r="G56" s="232">
        <f>IF(SUM(G53:G55)='Combining FST'!K27,SUM(G53:G55),"ERROR")</f>
        <v>0</v>
      </c>
      <c r="H56" s="232">
        <f>IF(SUM(H53:H55)='Combining FST'!L27,SUM(H53:H55),"ERROR")</f>
        <v>0</v>
      </c>
      <c r="I56" s="232">
        <f>IF(SUM(I53:I55)='Combining FST'!M27,SUM(I53:I55),"ERROR")</f>
        <v>0</v>
      </c>
      <c r="J56" s="232">
        <f>IF(SUM(J53:J55)='Combining FST'!N27,SUM(J53:J55),"ERROR")</f>
        <v>0</v>
      </c>
      <c r="K56" s="232">
        <f>IF(SUM(K53:K55)='Combining FST'!O27,SUM(K53:K55),"ERROR")</f>
        <v>0</v>
      </c>
      <c r="L56" s="232">
        <f>IF(SUM(L53:L55)='Combining FST'!P27,SUM(L53:L55),"ERROR")</f>
        <v>0</v>
      </c>
      <c r="M56" s="232">
        <f>IF(SUM(M53:M55)='Elimination Entries to FST'!I57,SUM(M53:M55),"ERROR")</f>
        <v>0</v>
      </c>
      <c r="N56" s="232">
        <f>IF(SUM(N53:N55)=FST!J57,SUM(N53:N55),"ERROR")</f>
        <v>0</v>
      </c>
    </row>
    <row r="57" spans="1:14" ht="13.5" thickTop="1" x14ac:dyDescent="0.2">
      <c r="A57" s="406"/>
      <c r="C57" s="62"/>
      <c r="D57" s="62"/>
      <c r="E57" s="62"/>
      <c r="F57" s="62"/>
      <c r="G57" s="62"/>
      <c r="H57" s="62"/>
      <c r="I57" s="62"/>
      <c r="J57" s="62"/>
      <c r="K57" s="62"/>
    </row>
    <row r="58" spans="1:14" x14ac:dyDescent="0.2">
      <c r="C58" s="227" t="s">
        <v>636</v>
      </c>
      <c r="D58" s="227" t="s">
        <v>595</v>
      </c>
      <c r="E58" s="227" t="s">
        <v>636</v>
      </c>
      <c r="F58" s="227" t="s">
        <v>595</v>
      </c>
      <c r="G58" s="227" t="s">
        <v>636</v>
      </c>
      <c r="H58" s="227" t="s">
        <v>595</v>
      </c>
      <c r="I58" s="227" t="s">
        <v>636</v>
      </c>
      <c r="J58" s="227" t="s">
        <v>595</v>
      </c>
      <c r="K58" s="227" t="s">
        <v>636</v>
      </c>
      <c r="L58" s="227" t="s">
        <v>636</v>
      </c>
      <c r="M58" s="227" t="s">
        <v>637</v>
      </c>
      <c r="N58" s="227" t="s">
        <v>220</v>
      </c>
    </row>
    <row r="59" spans="1:14" ht="27.75" customHeight="1" x14ac:dyDescent="0.2">
      <c r="A59" s="453"/>
      <c r="B59" s="451" t="s">
        <v>819</v>
      </c>
      <c r="C59" s="454">
        <f>SUM(C53:C55)</f>
        <v>0</v>
      </c>
      <c r="D59" s="454">
        <f>SUM(D53:D55)</f>
        <v>0</v>
      </c>
      <c r="E59" s="454">
        <f t="shared" ref="E59:N59" si="3">SUM(E53:E55)</f>
        <v>0</v>
      </c>
      <c r="F59" s="454">
        <f t="shared" si="3"/>
        <v>0</v>
      </c>
      <c r="G59" s="454">
        <f t="shared" si="3"/>
        <v>0</v>
      </c>
      <c r="H59" s="454">
        <f t="shared" si="3"/>
        <v>0</v>
      </c>
      <c r="I59" s="454">
        <f t="shared" si="3"/>
        <v>0</v>
      </c>
      <c r="J59" s="454">
        <f t="shared" si="3"/>
        <v>0</v>
      </c>
      <c r="K59" s="454">
        <f t="shared" si="3"/>
        <v>0</v>
      </c>
      <c r="L59" s="454">
        <f t="shared" si="3"/>
        <v>0</v>
      </c>
      <c r="M59" s="454">
        <f t="shared" si="3"/>
        <v>0</v>
      </c>
      <c r="N59" s="454">
        <f t="shared" si="3"/>
        <v>0</v>
      </c>
    </row>
    <row r="60" spans="1:14" ht="27.75" customHeight="1" x14ac:dyDescent="0.2">
      <c r="A60" s="453"/>
      <c r="B60" s="451" t="s">
        <v>695</v>
      </c>
      <c r="C60" s="454">
        <f>'Combining FST'!G27-'TAB F3,  Receivables '!C59</f>
        <v>0</v>
      </c>
      <c r="D60" s="454">
        <f>'Combining FST'!H27-'TAB F3,  Receivables '!D59</f>
        <v>0</v>
      </c>
      <c r="E60" s="454">
        <f>'Combining FST'!I27-'TAB F3,  Receivables '!E59</f>
        <v>0</v>
      </c>
      <c r="F60" s="454">
        <f>'Combining FST'!J27-'TAB F3,  Receivables '!F59</f>
        <v>0</v>
      </c>
      <c r="G60" s="454">
        <f>'Combining FST'!K27-'TAB F3,  Receivables '!G59</f>
        <v>0</v>
      </c>
      <c r="H60" s="454">
        <f>'Combining FST'!L27-'TAB F3,  Receivables '!H59</f>
        <v>0</v>
      </c>
      <c r="I60" s="454">
        <f>'Combining FST'!M27-'TAB F3,  Receivables '!I59</f>
        <v>0</v>
      </c>
      <c r="J60" s="454">
        <f>'Combining FST'!N27-'TAB F3,  Receivables '!J59</f>
        <v>0</v>
      </c>
      <c r="K60" s="454">
        <f>'Combining FST'!O27-'TAB F3,  Receivables '!K59</f>
        <v>0</v>
      </c>
      <c r="L60" s="454">
        <f>'Combining FST'!P27-'TAB F3,  Receivables '!L59</f>
        <v>0</v>
      </c>
      <c r="M60" s="454">
        <f>'Elimination Entries to FST'!I57-'TAB F3,  Receivables '!M59</f>
        <v>0</v>
      </c>
      <c r="N60" s="454">
        <f>FST!J57-'TAB F3,  Receivables '!N59</f>
        <v>0</v>
      </c>
    </row>
    <row r="61" spans="1:14" ht="45.75" customHeight="1" x14ac:dyDescent="0.2">
      <c r="A61" s="1551" t="s">
        <v>268</v>
      </c>
      <c r="B61" s="1166"/>
      <c r="C61" s="1166"/>
      <c r="D61" s="1166"/>
      <c r="E61" s="1166"/>
      <c r="F61" s="1167"/>
      <c r="G61" s="62"/>
      <c r="H61" s="62"/>
      <c r="I61" s="62"/>
      <c r="J61" s="62"/>
      <c r="K61" s="62"/>
    </row>
    <row r="62" spans="1:14" ht="45.75" customHeight="1" x14ac:dyDescent="0.2">
      <c r="A62" s="1551" t="s">
        <v>22</v>
      </c>
      <c r="B62" s="1166"/>
      <c r="C62" s="1166"/>
      <c r="D62" s="1166"/>
      <c r="E62" s="1166"/>
      <c r="F62" s="1167"/>
      <c r="G62" s="62"/>
      <c r="H62" s="62"/>
      <c r="I62" s="62"/>
      <c r="J62" s="62"/>
      <c r="K62" s="62"/>
    </row>
    <row r="63" spans="1:14" ht="45.75" customHeight="1" x14ac:dyDescent="0.2">
      <c r="A63" s="1552" t="s">
        <v>425</v>
      </c>
      <c r="B63" s="1552"/>
      <c r="C63" s="1552"/>
      <c r="D63" s="1552"/>
      <c r="E63" s="1552"/>
      <c r="F63" s="1552"/>
    </row>
    <row r="66" spans="1:14" hidden="1" x14ac:dyDescent="0.2">
      <c r="A66" s="332" t="s">
        <v>1853</v>
      </c>
      <c r="B66" s="332"/>
      <c r="C66" s="332"/>
      <c r="D66" s="332"/>
      <c r="E66" s="332"/>
      <c r="F66" s="332"/>
      <c r="G66" s="332"/>
      <c r="H66" s="332"/>
      <c r="I66" s="332"/>
      <c r="J66" s="332"/>
      <c r="K66" s="332"/>
      <c r="L66" s="332"/>
      <c r="M66" s="332"/>
      <c r="N66" s="332"/>
    </row>
    <row r="67" spans="1:14" ht="101.25" hidden="1" customHeight="1" x14ac:dyDescent="0.2">
      <c r="A67" s="332" t="s">
        <v>301</v>
      </c>
      <c r="B67" s="1146"/>
      <c r="C67" s="1147">
        <f>C14</f>
        <v>0</v>
      </c>
      <c r="D67" s="1147">
        <f t="shared" ref="D67:J67" si="4">D14</f>
        <v>0</v>
      </c>
      <c r="E67" s="1147">
        <f t="shared" si="4"/>
        <v>0</v>
      </c>
      <c r="F67" s="1147">
        <f t="shared" si="4"/>
        <v>0</v>
      </c>
      <c r="G67" s="1147">
        <f t="shared" si="4"/>
        <v>0</v>
      </c>
      <c r="H67" s="1147">
        <f t="shared" si="4"/>
        <v>0</v>
      </c>
      <c r="I67" s="1147">
        <f t="shared" si="4"/>
        <v>0</v>
      </c>
      <c r="J67" s="1147">
        <f t="shared" si="4"/>
        <v>0</v>
      </c>
      <c r="K67" s="1148" t="s">
        <v>364</v>
      </c>
      <c r="L67" s="1149" t="s">
        <v>514</v>
      </c>
      <c r="M67" s="1149" t="s">
        <v>611</v>
      </c>
      <c r="N67" s="1149" t="s">
        <v>593</v>
      </c>
    </row>
    <row r="68" spans="1:14" hidden="1" x14ac:dyDescent="0.2">
      <c r="A68" s="332" t="s">
        <v>184</v>
      </c>
      <c r="B68" s="1146"/>
      <c r="C68" s="1150">
        <f>C15</f>
        <v>0</v>
      </c>
      <c r="D68" s="1150">
        <f t="shared" ref="D68:I68" si="5">D15</f>
        <v>0</v>
      </c>
      <c r="E68" s="1150">
        <f t="shared" si="5"/>
        <v>0</v>
      </c>
      <c r="F68" s="1150">
        <f t="shared" si="5"/>
        <v>0</v>
      </c>
      <c r="G68" s="1150">
        <f t="shared" si="5"/>
        <v>0</v>
      </c>
      <c r="H68" s="1150">
        <f t="shared" si="5"/>
        <v>0</v>
      </c>
      <c r="I68" s="1150">
        <f t="shared" si="5"/>
        <v>0</v>
      </c>
      <c r="J68" s="1150">
        <f>J15</f>
        <v>0</v>
      </c>
      <c r="K68" s="1151"/>
      <c r="L68" s="332"/>
      <c r="M68" s="332"/>
      <c r="N68" s="332"/>
    </row>
    <row r="69" spans="1:14" ht="6" customHeight="1" x14ac:dyDescent="0.2">
      <c r="B69" s="224"/>
      <c r="C69" s="229"/>
      <c r="D69" s="229"/>
      <c r="E69" s="229"/>
      <c r="F69" s="229"/>
      <c r="G69" s="229"/>
      <c r="H69" s="229"/>
      <c r="I69" s="229"/>
      <c r="J69" s="229"/>
      <c r="K69" s="59"/>
    </row>
    <row r="70" spans="1:14" x14ac:dyDescent="0.2">
      <c r="A70" s="829" t="s">
        <v>1803</v>
      </c>
      <c r="B70" s="1152"/>
      <c r="C70" s="1152"/>
      <c r="D70" s="1152"/>
      <c r="E70" s="1152"/>
    </row>
    <row r="71" spans="1:14" ht="6.75" customHeight="1" x14ac:dyDescent="0.2">
      <c r="K71" s="59"/>
      <c r="L71" s="229"/>
      <c r="M71" s="229"/>
      <c r="N71" s="229"/>
    </row>
    <row r="72" spans="1:14" x14ac:dyDescent="0.2">
      <c r="A72" s="1095" t="s">
        <v>1791</v>
      </c>
      <c r="B72" s="250"/>
      <c r="C72" s="288"/>
      <c r="D72" s="288"/>
      <c r="E72" s="288"/>
      <c r="F72" s="288"/>
      <c r="G72" s="288"/>
      <c r="H72" s="288"/>
      <c r="I72" s="288"/>
      <c r="J72" s="288"/>
      <c r="K72" s="235">
        <f>SUM(C72:J72)</f>
        <v>0</v>
      </c>
      <c r="L72" s="290"/>
      <c r="M72" s="290"/>
      <c r="N72" s="231">
        <f>SUM(K72:M72)</f>
        <v>0</v>
      </c>
    </row>
    <row r="73" spans="1:14" x14ac:dyDescent="0.2">
      <c r="A73" s="1095" t="s">
        <v>1792</v>
      </c>
      <c r="B73" s="250"/>
      <c r="C73" s="288"/>
      <c r="D73" s="288"/>
      <c r="E73" s="288"/>
      <c r="F73" s="288"/>
      <c r="G73" s="288"/>
      <c r="H73" s="288"/>
      <c r="I73" s="288"/>
      <c r="J73" s="288"/>
      <c r="K73" s="235">
        <f>SUM(C73:J73)</f>
        <v>0</v>
      </c>
      <c r="L73" s="290"/>
      <c r="M73" s="290"/>
      <c r="N73" s="231">
        <f>SUM(K73:M73)</f>
        <v>0</v>
      </c>
    </row>
    <row r="74" spans="1:14" x14ac:dyDescent="0.2">
      <c r="A74" s="1095" t="s">
        <v>1798</v>
      </c>
      <c r="B74" s="360"/>
      <c r="C74" s="288"/>
      <c r="D74" s="288"/>
      <c r="E74" s="288"/>
      <c r="F74" s="288"/>
      <c r="G74" s="288"/>
      <c r="H74" s="288"/>
      <c r="I74" s="288"/>
      <c r="J74" s="288"/>
      <c r="K74" s="235">
        <f>SUM(C74:J74)</f>
        <v>0</v>
      </c>
      <c r="L74" s="290"/>
      <c r="M74" s="290"/>
      <c r="N74" s="231">
        <f>SUM(K74:M74)</f>
        <v>0</v>
      </c>
    </row>
    <row r="75" spans="1:14" x14ac:dyDescent="0.2">
      <c r="A75" s="1095" t="s">
        <v>1804</v>
      </c>
      <c r="B75" s="360"/>
      <c r="C75" s="361"/>
      <c r="D75" s="361"/>
      <c r="E75" s="361"/>
      <c r="F75" s="361"/>
      <c r="G75" s="361"/>
      <c r="H75" s="361"/>
      <c r="I75" s="361"/>
      <c r="J75" s="361"/>
      <c r="K75" s="361"/>
      <c r="L75" s="361"/>
      <c r="M75" s="361"/>
      <c r="N75" s="62"/>
    </row>
    <row r="76" spans="1:14" ht="27.75" customHeight="1" x14ac:dyDescent="0.2">
      <c r="A76" s="1095" t="s">
        <v>1805</v>
      </c>
      <c r="B76" s="360"/>
      <c r="C76" s="288"/>
      <c r="D76" s="288"/>
      <c r="E76" s="288"/>
      <c r="F76" s="288"/>
      <c r="G76" s="288"/>
      <c r="H76" s="288"/>
      <c r="I76" s="288"/>
      <c r="J76" s="288"/>
      <c r="K76" s="235">
        <f>SUM(C76:J76)</f>
        <v>0</v>
      </c>
      <c r="L76" s="288"/>
      <c r="M76" s="288"/>
      <c r="N76" s="231">
        <f>SUM(K76:M76)</f>
        <v>0</v>
      </c>
    </row>
    <row r="77" spans="1:14" ht="27.75" customHeight="1" x14ac:dyDescent="0.2">
      <c r="A77" s="1564"/>
      <c r="B77" s="1565"/>
      <c r="C77" s="288"/>
      <c r="D77" s="288"/>
      <c r="E77" s="288"/>
      <c r="F77" s="288"/>
      <c r="G77" s="288"/>
      <c r="H77" s="288"/>
      <c r="I77" s="288"/>
      <c r="J77" s="288"/>
      <c r="K77" s="235">
        <f>SUM(C77:J77)</f>
        <v>0</v>
      </c>
      <c r="L77" s="288"/>
      <c r="M77" s="288"/>
      <c r="N77" s="231">
        <f>SUM(K77:M77)</f>
        <v>0</v>
      </c>
    </row>
    <row r="78" spans="1:14" ht="27.75" customHeight="1" x14ac:dyDescent="0.2">
      <c r="A78" s="1564"/>
      <c r="B78" s="1565"/>
      <c r="C78" s="288"/>
      <c r="D78" s="288"/>
      <c r="E78" s="288"/>
      <c r="F78" s="288"/>
      <c r="G78" s="288"/>
      <c r="H78" s="288"/>
      <c r="I78" s="288"/>
      <c r="J78" s="288"/>
      <c r="K78" s="235">
        <f>SUM(C78:J78)</f>
        <v>0</v>
      </c>
      <c r="L78" s="288"/>
      <c r="M78" s="288"/>
      <c r="N78" s="231">
        <f>SUM(K78:M78)</f>
        <v>0</v>
      </c>
    </row>
    <row r="79" spans="1:14" x14ac:dyDescent="0.2">
      <c r="A79" s="233" t="s">
        <v>185</v>
      </c>
      <c r="B79" s="250"/>
      <c r="C79" s="231">
        <f>SUM(C72:C78)</f>
        <v>0</v>
      </c>
      <c r="D79" s="231">
        <f t="shared" ref="D79:J79" si="6">SUM(D72:D78)</f>
        <v>0</v>
      </c>
      <c r="E79" s="231">
        <f t="shared" si="6"/>
        <v>0</v>
      </c>
      <c r="F79" s="231">
        <f t="shared" si="6"/>
        <v>0</v>
      </c>
      <c r="G79" s="231">
        <f t="shared" si="6"/>
        <v>0</v>
      </c>
      <c r="H79" s="231">
        <f t="shared" si="6"/>
        <v>0</v>
      </c>
      <c r="I79" s="231">
        <f t="shared" si="6"/>
        <v>0</v>
      </c>
      <c r="J79" s="231">
        <f t="shared" si="6"/>
        <v>0</v>
      </c>
      <c r="K79" s="231">
        <f>SUM(K72:K78)</f>
        <v>0</v>
      </c>
      <c r="L79" s="231">
        <f>SUM(L72:L78)</f>
        <v>0</v>
      </c>
      <c r="M79" s="231">
        <f>SUM(M72:M78)</f>
        <v>0</v>
      </c>
      <c r="N79" s="231">
        <f>SUM(N72:N78)</f>
        <v>0</v>
      </c>
    </row>
    <row r="80" spans="1:14" ht="25.5" x14ac:dyDescent="0.2">
      <c r="A80" s="1137" t="s">
        <v>1806</v>
      </c>
      <c r="B80" s="250"/>
      <c r="C80" s="245"/>
      <c r="D80" s="245"/>
      <c r="E80" s="245"/>
      <c r="F80" s="245"/>
      <c r="G80" s="245"/>
      <c r="H80" s="245"/>
      <c r="I80" s="245"/>
      <c r="J80" s="245"/>
      <c r="K80" s="235">
        <f>SUM(C80:J80)</f>
        <v>0</v>
      </c>
      <c r="L80" s="254"/>
      <c r="M80" s="254"/>
      <c r="N80" s="231">
        <f>SUM(K80:M80)</f>
        <v>0</v>
      </c>
    </row>
    <row r="81" spans="1:14" ht="13.5" thickBot="1" x14ac:dyDescent="0.25">
      <c r="A81" s="1095" t="s">
        <v>1854</v>
      </c>
      <c r="B81" s="250"/>
      <c r="C81" s="359">
        <f>IF(SUM(C79:C80)='Combining FST'!G42,SUM(C79:C80),"ERROR")</f>
        <v>0</v>
      </c>
      <c r="D81" s="359">
        <f>IF(SUM(D79:D80)='Combining FST'!H42,SUM(D79:D80),"ERROR")</f>
        <v>0</v>
      </c>
      <c r="E81" s="359">
        <f>IF(SUM(E79:E80)='Combining FST'!I42,SUM(E79:E80),"ERROR")</f>
        <v>0</v>
      </c>
      <c r="F81" s="359">
        <f>IF(SUM(F79:F80)='Combining FST'!J42,SUM(F79:F80),"ERROR")</f>
        <v>0</v>
      </c>
      <c r="G81" s="359">
        <f>IF(SUM(G79:G80)='Combining FST'!K42,SUM(G79:G80),"ERROR")</f>
        <v>0</v>
      </c>
      <c r="H81" s="359">
        <f>IF(SUM(H79:H80)='Combining FST'!L42,SUM(H79:H80),"ERROR")</f>
        <v>0</v>
      </c>
      <c r="I81" s="359">
        <f>IF(SUM(I79:I80)='Combining FST'!M42,SUM(I79:I80),"ERROR")</f>
        <v>0</v>
      </c>
      <c r="J81" s="359">
        <f>IF(SUM(J79:J80)='Combining FST'!N42,SUM(J79:J80),"ERROR")</f>
        <v>0</v>
      </c>
      <c r="K81" s="232">
        <f>IF(SUM(K79:K80)='Combining FST'!O42,SUM(K79:K80),"ERROR")</f>
        <v>0</v>
      </c>
      <c r="L81" s="232">
        <f>IF(SUM(L79:L80)='Combining FST'!P42,SUM(L79:L80),"ERROR")</f>
        <v>0</v>
      </c>
      <c r="M81" s="232">
        <f>IF(SUM(M79:M80)='Elimination Entries to FST'!I92,SUM(M79:M80),"ERROR")</f>
        <v>0</v>
      </c>
      <c r="N81" s="232">
        <f>IF(SUM(N79:N80)=FST!H91+'Elimination Entries to FST'!I92,SUM(N79:N80),"ERROR")</f>
        <v>0</v>
      </c>
    </row>
    <row r="82" spans="1:14" ht="13.5" thickTop="1" x14ac:dyDescent="0.2">
      <c r="A82" s="406"/>
      <c r="C82" s="227" t="s">
        <v>636</v>
      </c>
      <c r="D82" s="227" t="s">
        <v>595</v>
      </c>
      <c r="E82" s="227" t="s">
        <v>636</v>
      </c>
      <c r="F82" s="227" t="s">
        <v>595</v>
      </c>
      <c r="G82" s="227" t="s">
        <v>636</v>
      </c>
      <c r="H82" s="227" t="s">
        <v>595</v>
      </c>
      <c r="I82" s="227" t="s">
        <v>636</v>
      </c>
      <c r="J82" s="227" t="s">
        <v>595</v>
      </c>
      <c r="K82" s="227" t="s">
        <v>636</v>
      </c>
      <c r="L82" s="227" t="s">
        <v>636</v>
      </c>
      <c r="M82" s="227" t="s">
        <v>637</v>
      </c>
      <c r="N82" s="227" t="s">
        <v>220</v>
      </c>
    </row>
    <row r="83" spans="1:14" ht="21" customHeight="1" x14ac:dyDescent="0.2">
      <c r="B83" s="451" t="s">
        <v>819</v>
      </c>
      <c r="C83" s="452">
        <f>SUM(C79:C80)</f>
        <v>0</v>
      </c>
      <c r="D83" s="452">
        <f>SUM(D79:D80)</f>
        <v>0</v>
      </c>
      <c r="E83" s="452">
        <f>SUM(E79:E80)</f>
        <v>0</v>
      </c>
      <c r="F83" s="452">
        <f t="shared" ref="F83:M83" si="7">SUM(F79:F80)</f>
        <v>0</v>
      </c>
      <c r="G83" s="452">
        <f t="shared" si="7"/>
        <v>0</v>
      </c>
      <c r="H83" s="452">
        <f t="shared" si="7"/>
        <v>0</v>
      </c>
      <c r="I83" s="452">
        <f t="shared" si="7"/>
        <v>0</v>
      </c>
      <c r="J83" s="452">
        <f t="shared" si="7"/>
        <v>0</v>
      </c>
      <c r="K83" s="452">
        <f>SUM(K79:K80)</f>
        <v>0</v>
      </c>
      <c r="L83" s="452">
        <f>SUM(L79:L80)</f>
        <v>0</v>
      </c>
      <c r="M83" s="452">
        <f t="shared" si="7"/>
        <v>0</v>
      </c>
      <c r="N83" s="452">
        <f>SUM(N79:N80)</f>
        <v>0</v>
      </c>
    </row>
    <row r="84" spans="1:14" ht="21" customHeight="1" x14ac:dyDescent="0.2">
      <c r="B84" s="451" t="s">
        <v>695</v>
      </c>
      <c r="C84" s="452">
        <f>'Combining FST'!G42-'TAB F3,  Receivables '!C83</f>
        <v>0</v>
      </c>
      <c r="D84" s="452">
        <f>'Combining FST'!H42-'TAB F3,  Receivables '!D83</f>
        <v>0</v>
      </c>
      <c r="E84" s="452">
        <f>'Combining FST'!I42-'TAB F3,  Receivables '!E83</f>
        <v>0</v>
      </c>
      <c r="F84" s="452">
        <f>'Combining FST'!J42-'TAB F3,  Receivables '!F83</f>
        <v>0</v>
      </c>
      <c r="G84" s="452">
        <f>'Combining FST'!K42-'TAB F3,  Receivables '!G83</f>
        <v>0</v>
      </c>
      <c r="H84" s="452">
        <f>'Combining FST'!L42-'TAB F3,  Receivables '!H83</f>
        <v>0</v>
      </c>
      <c r="I84" s="452">
        <f>'Combining FST'!M42-'TAB F3,  Receivables '!I83</f>
        <v>0</v>
      </c>
      <c r="J84" s="452">
        <f>'Combining FST'!N42-'TAB F3,  Receivables '!J83</f>
        <v>0</v>
      </c>
      <c r="K84" s="452">
        <f>'Combining FST'!O42-'TAB F3,  Receivables '!K83</f>
        <v>0</v>
      </c>
      <c r="L84" s="452">
        <f>'Combining FST'!P42-'TAB F3,  Receivables '!L83</f>
        <v>0</v>
      </c>
      <c r="M84" s="452">
        <f>'Elimination Entries to FST'!I92-'TAB F3,  Receivables '!M83</f>
        <v>0</v>
      </c>
      <c r="N84" s="452">
        <f>SUM(FST!H91,'Elimination Entries to FST'!I92)-'TAB F3,  Receivables '!N83</f>
        <v>0</v>
      </c>
    </row>
    <row r="85" spans="1:14" ht="46.5" customHeight="1" x14ac:dyDescent="0.2">
      <c r="A85" s="1566" t="s">
        <v>1807</v>
      </c>
      <c r="B85" s="1552"/>
      <c r="C85" s="1552"/>
      <c r="D85" s="1552"/>
      <c r="E85" s="1552"/>
      <c r="F85" s="1552"/>
    </row>
    <row r="86" spans="1:14" ht="51.75" customHeight="1" x14ac:dyDescent="0.2">
      <c r="A86" s="1567" t="s">
        <v>1808</v>
      </c>
      <c r="B86" s="1166"/>
      <c r="C86" s="1166"/>
      <c r="D86" s="1166"/>
      <c r="E86" s="1166"/>
      <c r="F86" s="1167"/>
    </row>
    <row r="87" spans="1:14" ht="54.75" customHeight="1" x14ac:dyDescent="0.2">
      <c r="A87" s="1566" t="s">
        <v>1809</v>
      </c>
      <c r="B87" s="1552"/>
      <c r="C87" s="1552"/>
      <c r="D87" s="1552"/>
      <c r="E87" s="1552"/>
      <c r="F87" s="1552"/>
    </row>
    <row r="88" spans="1:14" ht="7.5" customHeight="1" x14ac:dyDescent="0.2"/>
    <row r="89" spans="1:14" ht="3.75" customHeight="1" x14ac:dyDescent="0.2"/>
    <row r="90" spans="1:14" ht="3.75" customHeight="1" x14ac:dyDescent="0.2"/>
    <row r="91" spans="1:14" ht="3.75" customHeight="1" x14ac:dyDescent="0.2"/>
    <row r="92" spans="1:14" ht="3.75" customHeight="1" x14ac:dyDescent="0.2"/>
    <row r="93" spans="1:14" ht="51" x14ac:dyDescent="0.2">
      <c r="A93" s="1137" t="s">
        <v>1855</v>
      </c>
      <c r="B93" s="250"/>
      <c r="C93" s="63"/>
      <c r="D93" s="63"/>
      <c r="E93" s="63"/>
      <c r="F93" s="63"/>
      <c r="G93" s="63"/>
      <c r="H93" s="63"/>
      <c r="I93" s="63"/>
      <c r="J93" s="63"/>
      <c r="K93" s="231">
        <f>SUM(C93:J93)</f>
        <v>0</v>
      </c>
      <c r="L93" s="63"/>
      <c r="M93" s="63"/>
      <c r="N93" s="255">
        <f>SUM(K93:M93)</f>
        <v>0</v>
      </c>
    </row>
  </sheetData>
  <sheetProtection algorithmName="SHA-512" hashValue="wCsAZZ+hdxjI52gal+KKI2kqfff6wAZH+3Z2roFSYa2OQuFA8WDTykbFsPMs8OEWXsCy8J39Z3887dcwSJwbuA==" saltValue="ZsbEj3Zy6XPPi3Xwm8HvVg==" spinCount="100000" sheet="1" objects="1" scenarios="1"/>
  <mergeCells count="24">
    <mergeCell ref="C1:F1"/>
    <mergeCell ref="A24:B24"/>
    <mergeCell ref="A25:B25"/>
    <mergeCell ref="A61:F61"/>
    <mergeCell ref="A62:F62"/>
    <mergeCell ref="C2:F2"/>
    <mergeCell ref="C3:F3"/>
    <mergeCell ref="C4:F4"/>
    <mergeCell ref="C5:F5"/>
    <mergeCell ref="A17:E17"/>
    <mergeCell ref="C6:F6"/>
    <mergeCell ref="A11:F11"/>
    <mergeCell ref="A10:F10"/>
    <mergeCell ref="A13:N13"/>
    <mergeCell ref="A63:F63"/>
    <mergeCell ref="A47:F47"/>
    <mergeCell ref="A32:F32"/>
    <mergeCell ref="A33:F33"/>
    <mergeCell ref="A34:F34"/>
    <mergeCell ref="A78:B78"/>
    <mergeCell ref="A87:F87"/>
    <mergeCell ref="A77:B77"/>
    <mergeCell ref="A85:F85"/>
    <mergeCell ref="A86:F86"/>
  </mergeCells>
  <phoneticPr fontId="12" type="noConversion"/>
  <dataValidations count="4">
    <dataValidation type="whole" allowBlank="1" showInputMessage="1" showErrorMessage="1" error="Enter whole number." sqref="L19:M25 C27:J27 C19:J25 C40:J40 L27:M27 C50:J52 C54:J55 L72:M78 C80:J80 C72:J78 C93:J93 L80:M80" xr:uid="{00000000-0002-0000-1400-000000000000}">
      <formula1>-1000000000000000</formula1>
      <formula2>1000000000000000</formula2>
    </dataValidation>
    <dataValidation type="whole" allowBlank="1" showInputMessage="1" showErrorMessage="1" error="Enter whole number." sqref="L40:M40 L93:M93" xr:uid="{00000000-0002-0000-1400-000001000000}">
      <formula1>-100000000000000</formula1>
      <formula2>1000000000000000</formula2>
    </dataValidation>
    <dataValidation type="whole" allowBlank="1" showInputMessage="1" showErrorMessage="1" error="Enter whole number." sqref="L50:M52 L54:M55" xr:uid="{00000000-0002-0000-1400-000002000000}">
      <formula1>-100000000000000</formula1>
      <formula2>10000000000000</formula2>
    </dataValidation>
    <dataValidation type="whole" allowBlank="1" showInputMessage="1" showErrorMessage="1" error="Enter a 3-digit agency control number." sqref="C1:F1" xr:uid="{00000000-0002-0000-1400-000003000000}">
      <formula1>100</formula1>
      <formula2>999</formula2>
    </dataValidation>
  </dataValidations>
  <pageMargins left="0.7" right="0.7" top="1" bottom="0.75" header="0.3" footer="0.3"/>
  <pageSetup paperSize="5" scale="55" fitToHeight="2" orientation="landscape" cellComments="asDisplayed" r:id="rId1"/>
  <headerFooter alignWithMargins="0">
    <oddHeader>&amp;C&amp;"Arial,Bold"Attachment HE-10
Financial Statement Template
&amp;A</oddHeader>
    <oddFooter>&amp;L&amp;"Arial,Regular"&amp;F \ &amp;A&amp;R&amp;"Arial,Regular"Page &amp;P</oddFooter>
  </headerFooter>
  <rowBreaks count="2" manualBreakCount="2">
    <brk id="40" max="16383" man="1"/>
    <brk id="6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67"/>
  <sheetViews>
    <sheetView showGridLines="0" zoomScale="90" zoomScaleNormal="90" zoomScaleSheetLayoutView="75" workbookViewId="0">
      <pane xSplit="2" ySplit="17" topLeftCell="C18" activePane="bottomRight" state="frozen"/>
      <selection pane="topRight" activeCell="C1" sqref="C1"/>
      <selection pane="bottomLeft" activeCell="A18" sqref="A18"/>
      <selection pane="bottomRight" activeCell="G60" sqref="G60"/>
    </sheetView>
  </sheetViews>
  <sheetFormatPr defaultColWidth="10.6640625" defaultRowHeight="12.75" x14ac:dyDescent="0.2"/>
  <cols>
    <col min="1" max="1" width="39.6640625" style="58" customWidth="1"/>
    <col min="2" max="2" width="2.33203125" style="58" customWidth="1"/>
    <col min="3" max="14" width="16.83203125" style="58" customWidth="1"/>
    <col min="15" max="16384" width="10.6640625" style="58"/>
  </cols>
  <sheetData>
    <row r="1" spans="1:14" x14ac:dyDescent="0.2">
      <c r="A1" s="824" t="s">
        <v>1155</v>
      </c>
      <c r="C1" s="1546">
        <f>FST!E1</f>
        <v>0</v>
      </c>
      <c r="D1" s="1580"/>
      <c r="E1" s="1580"/>
      <c r="F1" s="1580"/>
    </row>
    <row r="2" spans="1:14" s="33" customFormat="1" ht="36.75" customHeight="1" x14ac:dyDescent="0.2">
      <c r="A2" s="824" t="s">
        <v>770</v>
      </c>
      <c r="B2" s="31"/>
      <c r="C2" s="1546" t="str">
        <f>FST!E2</f>
        <v/>
      </c>
      <c r="D2" s="1580"/>
      <c r="E2" s="1580"/>
      <c r="F2" s="1580"/>
      <c r="G2" s="293"/>
      <c r="H2" s="285"/>
      <c r="I2" s="285"/>
      <c r="J2" s="285"/>
    </row>
    <row r="3" spans="1:14" s="33" customFormat="1" x14ac:dyDescent="0.2">
      <c r="A3" s="824" t="s">
        <v>771</v>
      </c>
      <c r="B3" s="220"/>
      <c r="C3" s="1556">
        <f>FST!E3</f>
        <v>0</v>
      </c>
      <c r="D3" s="1584"/>
      <c r="E3" s="1584"/>
      <c r="F3" s="1584"/>
      <c r="G3" s="293"/>
      <c r="H3" s="285"/>
      <c r="I3" s="285"/>
      <c r="J3" s="285"/>
    </row>
    <row r="4" spans="1:14" s="33" customFormat="1" x14ac:dyDescent="0.2">
      <c r="A4" s="824" t="s">
        <v>773</v>
      </c>
      <c r="B4" s="220"/>
      <c r="C4" s="1558">
        <f>FST!E4</f>
        <v>0</v>
      </c>
      <c r="D4" s="1585"/>
      <c r="E4" s="1585"/>
      <c r="F4" s="1585"/>
      <c r="G4" s="293"/>
      <c r="H4" s="285"/>
      <c r="I4" s="285"/>
      <c r="J4" s="285"/>
    </row>
    <row r="5" spans="1:14" s="33" customFormat="1" x14ac:dyDescent="0.2">
      <c r="A5" s="825" t="s">
        <v>774</v>
      </c>
      <c r="B5" s="220"/>
      <c r="C5" s="1556">
        <f>FST!E5</f>
        <v>0</v>
      </c>
      <c r="D5" s="1584"/>
      <c r="E5" s="1584"/>
      <c r="F5" s="1584"/>
      <c r="G5" s="293"/>
      <c r="H5" s="285"/>
      <c r="I5" s="285"/>
      <c r="J5" s="285"/>
    </row>
    <row r="6" spans="1:14" s="33" customFormat="1" x14ac:dyDescent="0.2">
      <c r="A6" s="826" t="s">
        <v>775</v>
      </c>
      <c r="B6" s="220"/>
      <c r="C6" s="1553">
        <f>FST!E6</f>
        <v>0</v>
      </c>
      <c r="D6" s="1583"/>
      <c r="E6" s="1583"/>
      <c r="F6" s="1583"/>
      <c r="G6" s="293"/>
      <c r="H6" s="286"/>
      <c r="I6" s="286"/>
      <c r="J6" s="286"/>
    </row>
    <row r="7" spans="1:14" s="33" customFormat="1" ht="12" x14ac:dyDescent="0.2">
      <c r="A7" s="67" t="s">
        <v>581</v>
      </c>
      <c r="B7" s="34"/>
    </row>
    <row r="8" spans="1:14" s="33" customFormat="1" ht="12" x14ac:dyDescent="0.2">
      <c r="A8" s="827"/>
      <c r="B8" s="34"/>
    </row>
    <row r="9" spans="1:14" s="33" customFormat="1" ht="12" x14ac:dyDescent="0.2">
      <c r="A9" s="827"/>
      <c r="B9" s="34"/>
    </row>
    <row r="10" spans="1:14" s="33" customFormat="1" ht="27" customHeight="1" x14ac:dyDescent="0.2">
      <c r="A10" s="1263" t="s">
        <v>53</v>
      </c>
      <c r="B10" s="1581"/>
      <c r="C10" s="1581"/>
      <c r="D10" s="1581"/>
      <c r="E10" s="1581"/>
      <c r="F10" s="1581"/>
      <c r="G10" s="976"/>
      <c r="H10" s="976"/>
      <c r="I10" s="976"/>
      <c r="J10" s="976"/>
      <c r="K10" s="976"/>
    </row>
    <row r="11" spans="1:14" s="33" customFormat="1" ht="31.5" customHeight="1" x14ac:dyDescent="0.2">
      <c r="A11" s="1271" t="s">
        <v>1362</v>
      </c>
      <c r="B11" s="1582"/>
      <c r="C11" s="1582"/>
      <c r="D11" s="1582"/>
      <c r="E11" s="1582"/>
      <c r="F11" s="1582"/>
    </row>
    <row r="12" spans="1:14" s="33" customFormat="1" ht="12" x14ac:dyDescent="0.2">
      <c r="B12" s="34"/>
    </row>
    <row r="13" spans="1:14" s="33" customFormat="1" ht="12" x14ac:dyDescent="0.2">
      <c r="A13" s="221"/>
      <c r="B13" s="34"/>
    </row>
    <row r="14" spans="1:14" s="222" customFormat="1" x14ac:dyDescent="0.2">
      <c r="A14" s="228" t="s">
        <v>1540</v>
      </c>
      <c r="B14" s="223"/>
    </row>
    <row r="15" spans="1:14" s="222" customFormat="1" x14ac:dyDescent="0.2">
      <c r="B15" s="223"/>
      <c r="K15" s="230"/>
    </row>
    <row r="16" spans="1:14" ht="105" customHeight="1" x14ac:dyDescent="0.2">
      <c r="A16" s="58" t="s">
        <v>54</v>
      </c>
      <c r="B16" s="224"/>
      <c r="C16" s="313">
        <f>'Combining FST'!G19</f>
        <v>0</v>
      </c>
      <c r="D16" s="313">
        <f>'Combining FST'!H19</f>
        <v>0</v>
      </c>
      <c r="E16" s="313">
        <f>'Combining FST'!I19</f>
        <v>0</v>
      </c>
      <c r="F16" s="313">
        <f>'Combining FST'!J19</f>
        <v>0</v>
      </c>
      <c r="G16" s="313">
        <f>'Combining FST'!K19</f>
        <v>0</v>
      </c>
      <c r="H16" s="313">
        <f>'Combining FST'!L19</f>
        <v>0</v>
      </c>
      <c r="I16" s="313">
        <f>'Combining FST'!M19</f>
        <v>0</v>
      </c>
      <c r="J16" s="313">
        <f>'Combining FST'!N19</f>
        <v>0</v>
      </c>
      <c r="K16" s="539" t="s">
        <v>364</v>
      </c>
      <c r="L16" s="967" t="s">
        <v>514</v>
      </c>
      <c r="M16" s="967" t="s">
        <v>611</v>
      </c>
      <c r="N16" s="967" t="s">
        <v>544</v>
      </c>
    </row>
    <row r="17" spans="1:14" x14ac:dyDescent="0.2">
      <c r="A17" s="828" t="s">
        <v>184</v>
      </c>
      <c r="B17" s="224"/>
      <c r="C17" s="537">
        <f>'Combining FST'!G20</f>
        <v>0</v>
      </c>
      <c r="D17" s="537">
        <f>'Combining FST'!H20</f>
        <v>0</v>
      </c>
      <c r="E17" s="537">
        <f>'Combining FST'!I20</f>
        <v>0</v>
      </c>
      <c r="F17" s="537">
        <f>'Combining FST'!J20</f>
        <v>0</v>
      </c>
      <c r="G17" s="537">
        <f>'Combining FST'!K20</f>
        <v>0</v>
      </c>
      <c r="H17" s="537">
        <f>'Combining FST'!L20</f>
        <v>0</v>
      </c>
      <c r="I17" s="537">
        <f>'Combining FST'!M20</f>
        <v>0</v>
      </c>
      <c r="J17" s="537">
        <f>'Combining FST'!N20</f>
        <v>0</v>
      </c>
      <c r="K17" s="59"/>
    </row>
    <row r="18" spans="1:14" s="222" customFormat="1" ht="7.5" customHeight="1" x14ac:dyDescent="0.2">
      <c r="A18" s="78"/>
      <c r="B18" s="78"/>
      <c r="C18" s="954"/>
      <c r="D18" s="954"/>
      <c r="E18" s="954"/>
      <c r="F18" s="954"/>
      <c r="G18" s="954"/>
      <c r="H18" s="954"/>
      <c r="I18" s="954"/>
      <c r="J18" s="954"/>
    </row>
    <row r="19" spans="1:14" s="828" customFormat="1" x14ac:dyDescent="0.2">
      <c r="A19" s="696" t="s">
        <v>243</v>
      </c>
      <c r="B19" s="803"/>
      <c r="C19" s="1028"/>
      <c r="D19" s="1028"/>
      <c r="E19" s="1028"/>
      <c r="F19" s="1028"/>
      <c r="G19" s="248"/>
      <c r="H19" s="248"/>
      <c r="I19" s="248"/>
      <c r="J19" s="248"/>
      <c r="K19" s="1031"/>
    </row>
    <row r="20" spans="1:14" s="828" customFormat="1" x14ac:dyDescent="0.2">
      <c r="A20" s="696" t="s">
        <v>191</v>
      </c>
      <c r="B20" s="803"/>
      <c r="C20" s="112"/>
      <c r="D20" s="112"/>
      <c r="E20" s="112"/>
      <c r="F20" s="112"/>
      <c r="G20" s="112"/>
      <c r="H20" s="112"/>
      <c r="I20" s="112"/>
      <c r="J20" s="112"/>
      <c r="K20" s="314">
        <f>SUM(C20:J20)</f>
        <v>0</v>
      </c>
      <c r="L20" s="831"/>
      <c r="M20" s="831"/>
      <c r="N20" s="1032">
        <f>SUM(K20:M20)</f>
        <v>0</v>
      </c>
    </row>
    <row r="21" spans="1:14" s="828" customFormat="1" x14ac:dyDescent="0.2">
      <c r="A21" s="696" t="s">
        <v>193</v>
      </c>
      <c r="B21" s="803"/>
      <c r="C21" s="112"/>
      <c r="D21" s="112"/>
      <c r="E21" s="112"/>
      <c r="F21" s="112"/>
      <c r="G21" s="112"/>
      <c r="H21" s="112"/>
      <c r="I21" s="112"/>
      <c r="J21" s="112"/>
      <c r="K21" s="314">
        <f>SUM(C21:J21)</f>
        <v>0</v>
      </c>
      <c r="L21" s="831"/>
      <c r="M21" s="831"/>
      <c r="N21" s="1032">
        <f t="shared" ref="N21:N22" si="0">SUM(K21:M21)</f>
        <v>0</v>
      </c>
    </row>
    <row r="22" spans="1:14" s="828" customFormat="1" ht="25.5" x14ac:dyDescent="0.2">
      <c r="A22" s="1033" t="s">
        <v>192</v>
      </c>
      <c r="B22" s="803"/>
      <c r="C22" s="112"/>
      <c r="D22" s="112"/>
      <c r="E22" s="112"/>
      <c r="F22" s="112"/>
      <c r="G22" s="112"/>
      <c r="H22" s="112"/>
      <c r="I22" s="112"/>
      <c r="J22" s="112"/>
      <c r="K22" s="314">
        <f t="shared" ref="K22" si="1">SUM(C22:J22)</f>
        <v>0</v>
      </c>
      <c r="L22" s="831"/>
      <c r="M22" s="831"/>
      <c r="N22" s="1032">
        <f t="shared" si="0"/>
        <v>0</v>
      </c>
    </row>
    <row r="23" spans="1:14" s="828" customFormat="1" x14ac:dyDescent="0.2">
      <c r="A23" s="696" t="s">
        <v>194</v>
      </c>
      <c r="B23" s="803"/>
      <c r="C23" s="112"/>
      <c r="D23" s="112"/>
      <c r="E23" s="112"/>
      <c r="F23" s="112"/>
      <c r="G23" s="112"/>
      <c r="H23" s="112"/>
      <c r="I23" s="112"/>
      <c r="J23" s="112"/>
      <c r="K23" s="314">
        <f>SUM(C23:J23)</f>
        <v>0</v>
      </c>
      <c r="L23" s="831"/>
      <c r="M23" s="831"/>
      <c r="N23" s="1032">
        <f>SUM(K23:M23)</f>
        <v>0</v>
      </c>
    </row>
    <row r="24" spans="1:14" s="828" customFormat="1" x14ac:dyDescent="0.2">
      <c r="A24" s="696" t="s">
        <v>244</v>
      </c>
      <c r="B24" s="803"/>
      <c r="C24" s="363">
        <f>IF(SUM(C20:C23)='Combining FST'!G50,SUM(C20:C23),"ERROR")</f>
        <v>0</v>
      </c>
      <c r="D24" s="363">
        <f>IF(SUM(D20:D23)='Combining FST'!H50,SUM(D20:D23),"ERROR")</f>
        <v>0</v>
      </c>
      <c r="E24" s="363">
        <f>IF(SUM(E20:E23)='Combining FST'!I50,SUM(E20:E23),"ERROR")</f>
        <v>0</v>
      </c>
      <c r="F24" s="363">
        <f>IF(SUM(F20:F23)='Combining FST'!J50,SUM(F20:F23),"ERROR")</f>
        <v>0</v>
      </c>
      <c r="G24" s="363">
        <f>IF(SUM(G20:G23)='Combining FST'!K50,SUM(G20:G23),"ERROR")</f>
        <v>0</v>
      </c>
      <c r="H24" s="363">
        <f>IF(SUM(H20:H23)='Combining FST'!L50,SUM(H20:H23),"ERROR")</f>
        <v>0</v>
      </c>
      <c r="I24" s="363">
        <f>IF(SUM(I20:I23)='Combining FST'!M50,SUM(I20:I23),"ERROR")</f>
        <v>0</v>
      </c>
      <c r="J24" s="363">
        <f>IF(SUM(J20:J23)='Combining FST'!N50,SUM(J20:J23),"ERROR")</f>
        <v>0</v>
      </c>
      <c r="K24" s="363">
        <f>IF(SUM(K20:K23)='Combining FST'!O50,SUM(K20:K23),"ERROR")</f>
        <v>0</v>
      </c>
      <c r="L24" s="363">
        <f>IF(SUM(L20:L23)='Combining FST'!P50,SUM(L20:L23),"ERROR")</f>
        <v>0</v>
      </c>
      <c r="M24" s="363">
        <f>IF(SUM(M20:M23)='Elimination Entries to FST'!I102,SUM(M20:M23),"ERROR")</f>
        <v>0</v>
      </c>
      <c r="N24" s="363">
        <f>IF(SUM(N20:N23)=FST!H101+'Elimination Entries to FST'!I102,SUM(N20:N23),"ERROR")</f>
        <v>0</v>
      </c>
    </row>
    <row r="25" spans="1:14" s="828" customFormat="1" x14ac:dyDescent="0.2">
      <c r="A25" s="847"/>
      <c r="B25" s="803"/>
      <c r="C25" s="248" t="s">
        <v>636</v>
      </c>
      <c r="D25" s="248" t="s">
        <v>636</v>
      </c>
      <c r="E25" s="248" t="s">
        <v>636</v>
      </c>
      <c r="F25" s="248" t="s">
        <v>636</v>
      </c>
      <c r="G25" s="248" t="s">
        <v>636</v>
      </c>
      <c r="H25" s="248" t="s">
        <v>636</v>
      </c>
      <c r="I25" s="248" t="s">
        <v>636</v>
      </c>
      <c r="J25" s="248" t="s">
        <v>636</v>
      </c>
      <c r="K25" s="248" t="s">
        <v>636</v>
      </c>
      <c r="L25" s="248" t="s">
        <v>636</v>
      </c>
      <c r="M25" s="248" t="s">
        <v>637</v>
      </c>
      <c r="N25" s="248" t="s">
        <v>220</v>
      </c>
    </row>
    <row r="26" spans="1:14" s="828" customFormat="1" x14ac:dyDescent="0.2">
      <c r="A26" s="1034" t="s">
        <v>821</v>
      </c>
      <c r="B26" s="803"/>
      <c r="C26" s="1035">
        <f>SUM(C20:C23)</f>
        <v>0</v>
      </c>
      <c r="D26" s="1035">
        <f>SUM(D20:D23)</f>
        <v>0</v>
      </c>
      <c r="E26" s="1035">
        <f>SUM(E20:E23)</f>
        <v>0</v>
      </c>
      <c r="F26" s="1035">
        <f>SUM(F20:F23)</f>
        <v>0</v>
      </c>
      <c r="G26" s="1035">
        <f t="shared" ref="G26:M26" si="2">SUM(G20:G23)</f>
        <v>0</v>
      </c>
      <c r="H26" s="1035">
        <f t="shared" si="2"/>
        <v>0</v>
      </c>
      <c r="I26" s="1035">
        <f t="shared" si="2"/>
        <v>0</v>
      </c>
      <c r="J26" s="1035">
        <f t="shared" si="2"/>
        <v>0</v>
      </c>
      <c r="K26" s="1035">
        <f t="shared" si="2"/>
        <v>0</v>
      </c>
      <c r="L26" s="1035">
        <f t="shared" si="2"/>
        <v>0</v>
      </c>
      <c r="M26" s="1035">
        <f t="shared" si="2"/>
        <v>0</v>
      </c>
      <c r="N26" s="1035">
        <f>SUM(N20:N23)</f>
        <v>0</v>
      </c>
    </row>
    <row r="27" spans="1:14" s="828" customFormat="1" x14ac:dyDescent="0.2">
      <c r="A27" s="1034" t="s">
        <v>410</v>
      </c>
      <c r="B27" s="803"/>
      <c r="C27" s="1035">
        <f>'Combining FST'!G50-'TAB F4,  Capital Assets'!C26</f>
        <v>0</v>
      </c>
      <c r="D27" s="1035">
        <f>'Combining FST'!H50-'TAB F4,  Capital Assets'!D26</f>
        <v>0</v>
      </c>
      <c r="E27" s="1035">
        <f>'Combining FST'!I50-'TAB F4,  Capital Assets'!E26</f>
        <v>0</v>
      </c>
      <c r="F27" s="1035">
        <f>'Combining FST'!J50-'TAB F4,  Capital Assets'!F26</f>
        <v>0</v>
      </c>
      <c r="G27" s="1035">
        <f>'Combining FST'!K50-'TAB F4,  Capital Assets'!G26</f>
        <v>0</v>
      </c>
      <c r="H27" s="1035">
        <f>'Combining FST'!L50-'TAB F4,  Capital Assets'!H26</f>
        <v>0</v>
      </c>
      <c r="I27" s="1035">
        <f>'Combining FST'!M50-'TAB F4,  Capital Assets'!I26</f>
        <v>0</v>
      </c>
      <c r="J27" s="1035">
        <f>'Combining FST'!N50-'TAB F4,  Capital Assets'!J26</f>
        <v>0</v>
      </c>
      <c r="K27" s="1035">
        <f>'Combining FST'!O50-'TAB F4,  Capital Assets'!K26</f>
        <v>0</v>
      </c>
      <c r="L27" s="1035">
        <f>'Combining FST'!P50-'TAB F4,  Capital Assets'!L26</f>
        <v>0</v>
      </c>
      <c r="M27" s="1035">
        <f>'Elimination Entries to FST'!H102-'TAB F4,  Capital Assets'!M26</f>
        <v>0</v>
      </c>
      <c r="N27" s="1035">
        <f>SUM(FST!H101,'Elimination Entries to FST'!I102)-'TAB F4,  Capital Assets'!N26</f>
        <v>0</v>
      </c>
    </row>
    <row r="28" spans="1:14" x14ac:dyDescent="0.2">
      <c r="A28" s="696" t="s">
        <v>1416</v>
      </c>
      <c r="B28" s="85"/>
      <c r="C28" s="248"/>
      <c r="D28" s="248"/>
      <c r="E28" s="248"/>
      <c r="F28" s="248"/>
      <c r="G28" s="248"/>
      <c r="H28" s="248"/>
      <c r="I28" s="248"/>
      <c r="J28" s="248"/>
      <c r="K28" s="62"/>
    </row>
    <row r="29" spans="1:14" x14ac:dyDescent="0.2">
      <c r="A29" s="234" t="s">
        <v>195</v>
      </c>
      <c r="B29" s="85"/>
      <c r="C29" s="112"/>
      <c r="D29" s="112"/>
      <c r="E29" s="112"/>
      <c r="F29" s="112"/>
      <c r="G29" s="112"/>
      <c r="H29" s="112"/>
      <c r="I29" s="112"/>
      <c r="J29" s="112"/>
      <c r="K29" s="314">
        <f>SUM(C29:J29)</f>
        <v>0</v>
      </c>
      <c r="L29" s="122"/>
      <c r="M29" s="122"/>
      <c r="N29" s="240">
        <f>SUM(K29:M29)</f>
        <v>0</v>
      </c>
    </row>
    <row r="30" spans="1:14" x14ac:dyDescent="0.2">
      <c r="A30" s="234" t="s">
        <v>718</v>
      </c>
      <c r="B30" s="85"/>
      <c r="C30" s="112"/>
      <c r="D30" s="112"/>
      <c r="E30" s="112"/>
      <c r="F30" s="112"/>
      <c r="G30" s="112"/>
      <c r="H30" s="112"/>
      <c r="I30" s="112"/>
      <c r="J30" s="112"/>
      <c r="K30" s="314">
        <f>SUM(C30:J30)</f>
        <v>0</v>
      </c>
      <c r="L30" s="122"/>
      <c r="M30" s="122"/>
      <c r="N30" s="240">
        <f>SUM(K30:M30)</f>
        <v>0</v>
      </c>
    </row>
    <row r="31" spans="1:14" x14ac:dyDescent="0.2">
      <c r="A31" s="234" t="s">
        <v>237</v>
      </c>
      <c r="B31" s="85"/>
      <c r="C31" s="112"/>
      <c r="D31" s="112"/>
      <c r="E31" s="112"/>
      <c r="F31" s="112"/>
      <c r="G31" s="112"/>
      <c r="H31" s="112"/>
      <c r="I31" s="112"/>
      <c r="J31" s="112"/>
      <c r="K31" s="314">
        <f>SUM(C31:J31)</f>
        <v>0</v>
      </c>
      <c r="L31" s="122"/>
      <c r="M31" s="122"/>
      <c r="N31" s="240">
        <f>SUM(K31:M31)</f>
        <v>0</v>
      </c>
    </row>
    <row r="32" spans="1:14" x14ac:dyDescent="0.2">
      <c r="A32" s="234" t="s">
        <v>656</v>
      </c>
      <c r="B32" s="85"/>
      <c r="C32" s="112"/>
      <c r="D32" s="112"/>
      <c r="E32" s="112"/>
      <c r="F32" s="112"/>
      <c r="G32" s="112"/>
      <c r="H32" s="112"/>
      <c r="I32" s="112"/>
      <c r="J32" s="112"/>
      <c r="K32" s="314">
        <f>SUM(C32:J32)</f>
        <v>0</v>
      </c>
      <c r="L32" s="122"/>
      <c r="M32" s="122"/>
      <c r="N32" s="240">
        <f>SUM(K32:M32)</f>
        <v>0</v>
      </c>
    </row>
    <row r="33" spans="1:14" x14ac:dyDescent="0.2">
      <c r="A33" s="696" t="s">
        <v>915</v>
      </c>
      <c r="B33" s="85"/>
      <c r="C33" s="113"/>
      <c r="D33" s="113"/>
      <c r="E33" s="113"/>
      <c r="F33" s="113"/>
      <c r="G33" s="113"/>
      <c r="H33" s="113"/>
      <c r="I33" s="113"/>
      <c r="J33" s="113"/>
      <c r="K33" s="62"/>
      <c r="L33" s="123"/>
      <c r="M33" s="123"/>
      <c r="N33" s="121"/>
    </row>
    <row r="34" spans="1:14" x14ac:dyDescent="0.2">
      <c r="A34" s="234" t="s">
        <v>655</v>
      </c>
      <c r="B34" s="85"/>
      <c r="C34" s="112"/>
      <c r="D34" s="112"/>
      <c r="E34" s="112"/>
      <c r="F34" s="112"/>
      <c r="G34" s="112"/>
      <c r="H34" s="112"/>
      <c r="I34" s="112"/>
      <c r="J34" s="112"/>
      <c r="K34" s="314">
        <f>SUM(C34:J34)</f>
        <v>0</v>
      </c>
      <c r="L34" s="122"/>
      <c r="M34" s="122"/>
      <c r="N34" s="240">
        <f>SUM(K34:M34)</f>
        <v>0</v>
      </c>
    </row>
    <row r="35" spans="1:14" x14ac:dyDescent="0.2">
      <c r="A35" s="234" t="s">
        <v>719</v>
      </c>
      <c r="B35" s="85"/>
      <c r="C35" s="112"/>
      <c r="D35" s="112"/>
      <c r="E35" s="112"/>
      <c r="F35" s="112"/>
      <c r="G35" s="112"/>
      <c r="H35" s="112"/>
      <c r="I35" s="112"/>
      <c r="J35" s="112"/>
      <c r="K35" s="314">
        <f>SUM(C35:J35)</f>
        <v>0</v>
      </c>
      <c r="L35" s="122"/>
      <c r="M35" s="122"/>
      <c r="N35" s="240">
        <f>SUM(K35:M35)</f>
        <v>0</v>
      </c>
    </row>
    <row r="36" spans="1:14" ht="25.5" x14ac:dyDescent="0.2">
      <c r="A36" s="1047" t="s">
        <v>1509</v>
      </c>
      <c r="B36" s="85"/>
      <c r="C36" s="258">
        <f>SUM(C29:C35)</f>
        <v>0</v>
      </c>
      <c r="D36" s="258">
        <f t="shared" ref="D36:J36" si="3">SUM(D29:D35)</f>
        <v>0</v>
      </c>
      <c r="E36" s="258">
        <f t="shared" si="3"/>
        <v>0</v>
      </c>
      <c r="F36" s="258">
        <f t="shared" si="3"/>
        <v>0</v>
      </c>
      <c r="G36" s="258">
        <f t="shared" si="3"/>
        <v>0</v>
      </c>
      <c r="H36" s="258">
        <f t="shared" si="3"/>
        <v>0</v>
      </c>
      <c r="I36" s="258">
        <f t="shared" si="3"/>
        <v>0</v>
      </c>
      <c r="J36" s="258">
        <f t="shared" si="3"/>
        <v>0</v>
      </c>
      <c r="K36" s="258">
        <f>SUM(K29:K35)</f>
        <v>0</v>
      </c>
      <c r="L36" s="240">
        <f>SUM(L29:L35)</f>
        <v>0</v>
      </c>
      <c r="M36" s="240">
        <f>SUM(M29:M35)</f>
        <v>0</v>
      </c>
      <c r="N36" s="240">
        <f>SUM(N29:N35)</f>
        <v>0</v>
      </c>
    </row>
    <row r="37" spans="1:14" ht="6" customHeight="1" x14ac:dyDescent="0.2">
      <c r="A37" s="94"/>
      <c r="B37" s="85"/>
      <c r="C37" s="237"/>
      <c r="D37" s="237"/>
      <c r="E37" s="237"/>
      <c r="F37" s="237"/>
      <c r="G37" s="237"/>
      <c r="H37" s="237"/>
      <c r="I37" s="237"/>
      <c r="J37" s="237"/>
      <c r="K37" s="62"/>
      <c r="L37" s="123"/>
      <c r="M37" s="123"/>
      <c r="N37" s="121"/>
    </row>
    <row r="38" spans="1:14" x14ac:dyDescent="0.2">
      <c r="A38" s="236" t="s">
        <v>246</v>
      </c>
      <c r="B38" s="85"/>
      <c r="C38" s="237"/>
      <c r="D38" s="237"/>
      <c r="E38" s="237"/>
      <c r="F38" s="237"/>
      <c r="G38" s="237"/>
      <c r="H38" s="237"/>
      <c r="I38" s="237"/>
      <c r="J38" s="237"/>
      <c r="K38" s="62"/>
      <c r="L38" s="123"/>
      <c r="M38" s="123"/>
      <c r="N38" s="121"/>
    </row>
    <row r="39" spans="1:14" x14ac:dyDescent="0.2">
      <c r="A39" s="234" t="s">
        <v>195</v>
      </c>
      <c r="B39" s="85"/>
      <c r="C39" s="116"/>
      <c r="D39" s="116"/>
      <c r="E39" s="116"/>
      <c r="F39" s="116"/>
      <c r="G39" s="116"/>
      <c r="H39" s="116"/>
      <c r="I39" s="116"/>
      <c r="J39" s="116"/>
      <c r="K39" s="314">
        <f>SUM(C39:J39)</f>
        <v>0</v>
      </c>
      <c r="L39" s="122"/>
      <c r="M39" s="122"/>
      <c r="N39" s="240">
        <f>SUM(K39:M39)</f>
        <v>0</v>
      </c>
    </row>
    <row r="40" spans="1:14" x14ac:dyDescent="0.2">
      <c r="A40" s="234" t="s">
        <v>718</v>
      </c>
      <c r="B40" s="85"/>
      <c r="C40" s="116"/>
      <c r="D40" s="116"/>
      <c r="E40" s="116"/>
      <c r="F40" s="116"/>
      <c r="G40" s="116"/>
      <c r="H40" s="116"/>
      <c r="I40" s="116"/>
      <c r="J40" s="116"/>
      <c r="K40" s="314">
        <f>SUM(C40:J40)</f>
        <v>0</v>
      </c>
      <c r="L40" s="122"/>
      <c r="M40" s="122"/>
      <c r="N40" s="240">
        <f>SUM(K40:M40)</f>
        <v>0</v>
      </c>
    </row>
    <row r="41" spans="1:14" x14ac:dyDescent="0.2">
      <c r="A41" s="234" t="s">
        <v>237</v>
      </c>
      <c r="B41" s="85"/>
      <c r="C41" s="116"/>
      <c r="D41" s="116"/>
      <c r="E41" s="116"/>
      <c r="F41" s="116"/>
      <c r="G41" s="116"/>
      <c r="H41" s="116"/>
      <c r="I41" s="116"/>
      <c r="J41" s="116"/>
      <c r="K41" s="314">
        <f>SUM(C41:J41)</f>
        <v>0</v>
      </c>
      <c r="L41" s="122"/>
      <c r="M41" s="122"/>
      <c r="N41" s="240">
        <f>SUM(K41:M41)</f>
        <v>0</v>
      </c>
    </row>
    <row r="42" spans="1:14" x14ac:dyDescent="0.2">
      <c r="A42" s="234" t="s">
        <v>656</v>
      </c>
      <c r="B42" s="85"/>
      <c r="C42" s="116"/>
      <c r="D42" s="116"/>
      <c r="E42" s="116"/>
      <c r="F42" s="116"/>
      <c r="G42" s="116"/>
      <c r="H42" s="116"/>
      <c r="I42" s="116"/>
      <c r="J42" s="116"/>
      <c r="K42" s="314">
        <f>SUM(C42:J42)</f>
        <v>0</v>
      </c>
      <c r="L42" s="122"/>
      <c r="M42" s="122"/>
      <c r="N42" s="240">
        <f>SUM(K42:M42)</f>
        <v>0</v>
      </c>
    </row>
    <row r="43" spans="1:14" x14ac:dyDescent="0.2">
      <c r="A43" s="696" t="s">
        <v>915</v>
      </c>
      <c r="B43" s="85"/>
      <c r="C43" s="117"/>
      <c r="D43" s="117"/>
      <c r="E43" s="117"/>
      <c r="F43" s="117"/>
      <c r="G43" s="117"/>
      <c r="H43" s="117"/>
      <c r="I43" s="117"/>
      <c r="J43" s="117"/>
      <c r="K43" s="62"/>
      <c r="L43" s="123"/>
      <c r="M43" s="123"/>
      <c r="N43" s="121"/>
    </row>
    <row r="44" spans="1:14" x14ac:dyDescent="0.2">
      <c r="A44" s="234" t="s">
        <v>655</v>
      </c>
      <c r="B44" s="85"/>
      <c r="C44" s="116"/>
      <c r="D44" s="116"/>
      <c r="E44" s="116"/>
      <c r="F44" s="116"/>
      <c r="G44" s="116"/>
      <c r="H44" s="116"/>
      <c r="I44" s="116"/>
      <c r="J44" s="116"/>
      <c r="K44" s="314">
        <f>SUM(C44:J44)</f>
        <v>0</v>
      </c>
      <c r="L44" s="122"/>
      <c r="M44" s="122"/>
      <c r="N44" s="240">
        <f>SUM(K44:M44)</f>
        <v>0</v>
      </c>
    </row>
    <row r="45" spans="1:14" x14ac:dyDescent="0.2">
      <c r="A45" s="234" t="s">
        <v>719</v>
      </c>
      <c r="B45" s="85"/>
      <c r="C45" s="116"/>
      <c r="D45" s="116"/>
      <c r="E45" s="116"/>
      <c r="F45" s="116"/>
      <c r="G45" s="116"/>
      <c r="H45" s="116"/>
      <c r="I45" s="116"/>
      <c r="J45" s="116"/>
      <c r="K45" s="314">
        <f>SUM(C45:J45)</f>
        <v>0</v>
      </c>
      <c r="L45" s="122"/>
      <c r="M45" s="122"/>
      <c r="N45" s="240">
        <f>SUM(K45:M45)</f>
        <v>0</v>
      </c>
    </row>
    <row r="46" spans="1:14" x14ac:dyDescent="0.2">
      <c r="A46" s="1037" t="s">
        <v>652</v>
      </c>
      <c r="B46" s="85"/>
      <c r="C46" s="258">
        <f>SUM(C39:C45)</f>
        <v>0</v>
      </c>
      <c r="D46" s="258">
        <f>SUM(D39:D45)</f>
        <v>0</v>
      </c>
      <c r="E46" s="258">
        <f t="shared" ref="E46:K46" si="4">SUM(E39:E45)</f>
        <v>0</v>
      </c>
      <c r="F46" s="258">
        <f t="shared" si="4"/>
        <v>0</v>
      </c>
      <c r="G46" s="258">
        <f t="shared" si="4"/>
        <v>0</v>
      </c>
      <c r="H46" s="258">
        <f t="shared" si="4"/>
        <v>0</v>
      </c>
      <c r="I46" s="258">
        <f t="shared" si="4"/>
        <v>0</v>
      </c>
      <c r="J46" s="258">
        <f t="shared" si="4"/>
        <v>0</v>
      </c>
      <c r="K46" s="258">
        <f t="shared" si="4"/>
        <v>0</v>
      </c>
      <c r="L46" s="281">
        <f>SUM(L39:L45)</f>
        <v>0</v>
      </c>
      <c r="M46" s="281">
        <f>SUM(M39:M45)</f>
        <v>0</v>
      </c>
      <c r="N46" s="281">
        <f>SUM(N39:N45)</f>
        <v>0</v>
      </c>
    </row>
    <row r="47" spans="1:14" ht="7.5" customHeight="1" x14ac:dyDescent="0.2">
      <c r="A47" s="234"/>
      <c r="B47" s="85"/>
      <c r="C47" s="212"/>
      <c r="D47" s="212"/>
      <c r="E47" s="212"/>
      <c r="F47" s="212"/>
      <c r="G47" s="212"/>
      <c r="H47" s="212"/>
      <c r="I47" s="212"/>
      <c r="J47" s="212"/>
      <c r="K47" s="212"/>
      <c r="L47" s="123"/>
      <c r="M47" s="123"/>
      <c r="N47" s="121"/>
    </row>
    <row r="48" spans="1:14" hidden="1" x14ac:dyDescent="0.2">
      <c r="A48" s="234"/>
      <c r="B48" s="85"/>
      <c r="C48" s="212"/>
      <c r="D48" s="212"/>
      <c r="E48" s="212"/>
      <c r="F48" s="212"/>
      <c r="G48" s="212"/>
      <c r="H48" s="212"/>
      <c r="I48" s="212"/>
      <c r="J48" s="212"/>
      <c r="K48" s="212"/>
      <c r="L48" s="123"/>
      <c r="M48" s="123"/>
      <c r="N48" s="121"/>
    </row>
    <row r="49" spans="1:14" hidden="1" x14ac:dyDescent="0.2">
      <c r="A49" s="365"/>
      <c r="B49" s="85"/>
      <c r="C49" s="212"/>
      <c r="D49" s="212"/>
      <c r="E49" s="212"/>
      <c r="F49" s="212"/>
      <c r="G49" s="212"/>
      <c r="H49" s="212"/>
      <c r="I49" s="212"/>
      <c r="J49" s="212"/>
      <c r="K49" s="212"/>
      <c r="L49" s="212"/>
      <c r="M49" s="212"/>
      <c r="N49" s="101"/>
    </row>
    <row r="50" spans="1:14" hidden="1" x14ac:dyDescent="0.2">
      <c r="A50" s="234"/>
      <c r="B50" s="85"/>
      <c r="C50" s="363"/>
      <c r="D50" s="363"/>
      <c r="E50" s="363"/>
      <c r="F50" s="363"/>
      <c r="G50" s="363"/>
      <c r="H50" s="363"/>
      <c r="I50" s="363"/>
      <c r="J50" s="363"/>
      <c r="K50" s="364"/>
      <c r="L50" s="363"/>
      <c r="M50" s="363"/>
      <c r="N50" s="363"/>
    </row>
    <row r="51" spans="1:14" hidden="1" x14ac:dyDescent="0.2">
      <c r="A51" s="234"/>
      <c r="B51" s="85"/>
      <c r="C51" s="363"/>
      <c r="D51" s="363"/>
      <c r="E51" s="363"/>
      <c r="F51" s="363"/>
      <c r="G51" s="363"/>
      <c r="H51" s="363"/>
      <c r="I51" s="363"/>
      <c r="J51" s="363"/>
      <c r="K51" s="364"/>
      <c r="L51" s="363"/>
      <c r="M51" s="363"/>
      <c r="N51" s="363"/>
    </row>
    <row r="52" spans="1:14" hidden="1" x14ac:dyDescent="0.2">
      <c r="A52" s="234"/>
      <c r="B52" s="85"/>
      <c r="C52" s="363"/>
      <c r="D52" s="363"/>
      <c r="E52" s="363"/>
      <c r="F52" s="363"/>
      <c r="G52" s="363"/>
      <c r="H52" s="363"/>
      <c r="I52" s="363"/>
      <c r="J52" s="363"/>
      <c r="K52" s="364"/>
      <c r="L52" s="363"/>
      <c r="M52" s="363"/>
      <c r="N52" s="363"/>
    </row>
    <row r="53" spans="1:14" hidden="1" x14ac:dyDescent="0.2">
      <c r="A53" s="234"/>
      <c r="B53" s="85"/>
      <c r="C53" s="363"/>
      <c r="D53" s="363"/>
      <c r="E53" s="363"/>
      <c r="F53" s="363"/>
      <c r="G53" s="363"/>
      <c r="H53" s="363"/>
      <c r="I53" s="363"/>
      <c r="J53" s="363"/>
      <c r="K53" s="364"/>
      <c r="L53" s="363"/>
      <c r="M53" s="363"/>
      <c r="N53" s="363"/>
    </row>
    <row r="54" spans="1:14" hidden="1" x14ac:dyDescent="0.2">
      <c r="A54" s="696"/>
      <c r="B54" s="85"/>
      <c r="C54" s="212"/>
      <c r="D54" s="212"/>
      <c r="E54" s="212"/>
      <c r="F54" s="212"/>
      <c r="G54" s="212"/>
      <c r="H54" s="212"/>
      <c r="I54" s="212"/>
      <c r="J54" s="212"/>
      <c r="K54" s="212"/>
      <c r="L54" s="212"/>
      <c r="M54" s="212"/>
      <c r="N54" s="101"/>
    </row>
    <row r="55" spans="1:14" hidden="1" x14ac:dyDescent="0.2">
      <c r="A55" s="234"/>
      <c r="B55" s="85"/>
      <c r="C55" s="363"/>
      <c r="D55" s="363"/>
      <c r="E55" s="363"/>
      <c r="F55" s="363"/>
      <c r="G55" s="363"/>
      <c r="H55" s="363"/>
      <c r="I55" s="363"/>
      <c r="J55" s="363"/>
      <c r="K55" s="364"/>
      <c r="L55" s="363"/>
      <c r="M55" s="363"/>
      <c r="N55" s="363"/>
    </row>
    <row r="56" spans="1:14" hidden="1" x14ac:dyDescent="0.2">
      <c r="A56" s="234"/>
      <c r="B56" s="85"/>
      <c r="C56" s="363"/>
      <c r="D56" s="363"/>
      <c r="E56" s="363"/>
      <c r="F56" s="363"/>
      <c r="G56" s="363"/>
      <c r="H56" s="363"/>
      <c r="I56" s="363"/>
      <c r="J56" s="363"/>
      <c r="K56" s="364"/>
      <c r="L56" s="363"/>
      <c r="M56" s="363"/>
      <c r="N56" s="363"/>
    </row>
    <row r="57" spans="1:14" s="828" customFormat="1" x14ac:dyDescent="0.2">
      <c r="A57" s="696" t="s">
        <v>1428</v>
      </c>
      <c r="B57" s="85"/>
      <c r="C57" s="363">
        <f>IF(SUM(C36-C46)='Combining FST'!G58,SUM(C36-C46),"ERROR")</f>
        <v>0</v>
      </c>
      <c r="D57" s="363">
        <f>IF(SUM(D36-D46)='Combining FST'!H58,SUM(D36-D46),"ERROR")</f>
        <v>0</v>
      </c>
      <c r="E57" s="363">
        <f>IF(SUM(E36-E46)='Combining FST'!I58,SUM(E36-E46),"ERROR")</f>
        <v>0</v>
      </c>
      <c r="F57" s="363">
        <f>IF(SUM(F36-F46)='Combining FST'!J58,SUM(F36-F46),"ERROR")</f>
        <v>0</v>
      </c>
      <c r="G57" s="363">
        <f>IF(SUM(G36-G46)='Combining FST'!K58,SUM(G36-G46),"ERROR")</f>
        <v>0</v>
      </c>
      <c r="H57" s="363">
        <f>IF(SUM(H36-H46)='Combining FST'!L58,SUM(H36-H46),"ERROR")</f>
        <v>0</v>
      </c>
      <c r="I57" s="363">
        <f>IF(SUM(I36-I46)='Combining FST'!M58,SUM(I36-I46),"ERROR")</f>
        <v>0</v>
      </c>
      <c r="J57" s="363">
        <f>IF(SUM(J36-J46)='Combining FST'!N58,SUM(J36-J46),"ERROR")</f>
        <v>0</v>
      </c>
      <c r="K57" s="363">
        <f>IF(SUM(K36-K46)='Combining FST'!O58,SUM(K36-K46),"ERROR")</f>
        <v>0</v>
      </c>
      <c r="L57" s="363">
        <f>IF(SUM(L36-L46)='Combining FST'!P58,SUM(L36-L46),"ERROR")</f>
        <v>0</v>
      </c>
      <c r="M57" s="363">
        <f>IF(SUM(M36-M46)='Elimination Entries to FST'!I116,SUM(M36-M46),"ERROR")</f>
        <v>0</v>
      </c>
      <c r="N57" s="363">
        <f>IF(SUM(N36-N46)=FST!H115+'Elimination Entries to FST'!I116,SUM(N36-N46),"ERROR")</f>
        <v>0</v>
      </c>
    </row>
    <row r="58" spans="1:14" s="828" customFormat="1" x14ac:dyDescent="0.2">
      <c r="A58" s="696"/>
      <c r="B58" s="85"/>
      <c r="C58" s="248" t="s">
        <v>636</v>
      </c>
      <c r="D58" s="248" t="s">
        <v>636</v>
      </c>
      <c r="E58" s="248" t="s">
        <v>636</v>
      </c>
      <c r="F58" s="248" t="s">
        <v>636</v>
      </c>
      <c r="G58" s="248" t="s">
        <v>636</v>
      </c>
      <c r="H58" s="248" t="s">
        <v>636</v>
      </c>
      <c r="I58" s="248" t="s">
        <v>636</v>
      </c>
      <c r="J58" s="248" t="s">
        <v>636</v>
      </c>
      <c r="K58" s="248" t="s">
        <v>636</v>
      </c>
      <c r="L58" s="248" t="s">
        <v>636</v>
      </c>
      <c r="M58" s="248" t="s">
        <v>637</v>
      </c>
      <c r="N58" s="248" t="s">
        <v>220</v>
      </c>
    </row>
    <row r="59" spans="1:14" s="828" customFormat="1" x14ac:dyDescent="0.2">
      <c r="A59" s="1034" t="s">
        <v>821</v>
      </c>
      <c r="B59" s="85"/>
      <c r="C59" s="1036">
        <f>C36-C46</f>
        <v>0</v>
      </c>
      <c r="D59" s="1036">
        <f t="shared" ref="D59:M59" si="5">D36-D46</f>
        <v>0</v>
      </c>
      <c r="E59" s="1036">
        <f t="shared" si="5"/>
        <v>0</v>
      </c>
      <c r="F59" s="1036">
        <f t="shared" si="5"/>
        <v>0</v>
      </c>
      <c r="G59" s="1036">
        <f t="shared" si="5"/>
        <v>0</v>
      </c>
      <c r="H59" s="1036">
        <f t="shared" si="5"/>
        <v>0</v>
      </c>
      <c r="I59" s="1036">
        <f t="shared" si="5"/>
        <v>0</v>
      </c>
      <c r="J59" s="1036">
        <f t="shared" si="5"/>
        <v>0</v>
      </c>
      <c r="K59" s="1036">
        <f t="shared" si="5"/>
        <v>0</v>
      </c>
      <c r="L59" s="1036">
        <f t="shared" si="5"/>
        <v>0</v>
      </c>
      <c r="M59" s="1036">
        <f t="shared" si="5"/>
        <v>0</v>
      </c>
      <c r="N59" s="1036">
        <f>N36-N46</f>
        <v>0</v>
      </c>
    </row>
    <row r="60" spans="1:14" s="828" customFormat="1" ht="10.5" customHeight="1" x14ac:dyDescent="0.2">
      <c r="A60" s="1034" t="s">
        <v>410</v>
      </c>
      <c r="B60" s="85"/>
      <c r="C60" s="1035">
        <f>'Combining FST'!G58-'TAB F4,  Capital Assets'!C59</f>
        <v>0</v>
      </c>
      <c r="D60" s="1035">
        <f>'Combining FST'!H58-'TAB F4,  Capital Assets'!D59</f>
        <v>0</v>
      </c>
      <c r="E60" s="1035">
        <f>'Combining FST'!I58-'TAB F4,  Capital Assets'!E59</f>
        <v>0</v>
      </c>
      <c r="F60" s="1035">
        <f>'Combining FST'!J58-'TAB F4,  Capital Assets'!F59</f>
        <v>0</v>
      </c>
      <c r="G60" s="1035">
        <f>'Combining FST'!K58-'TAB F4,  Capital Assets'!G59</f>
        <v>0</v>
      </c>
      <c r="H60" s="1035">
        <f>'Combining FST'!L58-'TAB F4,  Capital Assets'!H59</f>
        <v>0</v>
      </c>
      <c r="I60" s="1035">
        <f>'Combining FST'!M58-'TAB F4,  Capital Assets'!I59</f>
        <v>0</v>
      </c>
      <c r="J60" s="1035">
        <f>'Combining FST'!N58-'TAB F4,  Capital Assets'!J59</f>
        <v>0</v>
      </c>
      <c r="K60" s="1035">
        <f>'Combining FST'!O58-'TAB F4,  Capital Assets'!K59</f>
        <v>0</v>
      </c>
      <c r="L60" s="1035">
        <f>'Combining FST'!P58-'TAB F4,  Capital Assets'!L59</f>
        <v>0</v>
      </c>
      <c r="M60" s="1035">
        <f>'Elimination Entries to FST'!I116-'TAB F4,  Capital Assets'!M59</f>
        <v>0</v>
      </c>
      <c r="N60" s="1035">
        <f>SUM(FST!H115,'Elimination Entries to FST'!I116)-'TAB F4,  Capital Assets'!N59</f>
        <v>0</v>
      </c>
    </row>
    <row r="61" spans="1:14" ht="60.75" customHeight="1" x14ac:dyDescent="0.2">
      <c r="A61" s="1567" t="s">
        <v>1482</v>
      </c>
      <c r="B61" s="1578"/>
      <c r="C61" s="1578"/>
      <c r="D61" s="1578"/>
      <c r="E61" s="1578"/>
      <c r="F61" s="1579"/>
      <c r="G61" s="212"/>
      <c r="H61" s="212"/>
      <c r="I61" s="212"/>
      <c r="J61" s="212"/>
      <c r="K61" s="212"/>
      <c r="L61" s="212"/>
      <c r="M61" s="212"/>
      <c r="N61" s="212"/>
    </row>
    <row r="62" spans="1:14" ht="60.75" customHeight="1" x14ac:dyDescent="0.2">
      <c r="A62" s="1567" t="s">
        <v>1513</v>
      </c>
      <c r="B62" s="1166"/>
      <c r="C62" s="1166"/>
      <c r="D62" s="1166"/>
      <c r="E62" s="1166"/>
      <c r="F62" s="1167"/>
      <c r="G62" s="212"/>
      <c r="H62" s="212"/>
      <c r="I62" s="212"/>
      <c r="J62" s="212"/>
      <c r="K62" s="212"/>
      <c r="L62" s="212"/>
      <c r="M62" s="212"/>
      <c r="N62" s="212"/>
    </row>
    <row r="63" spans="1:14" ht="62.45" customHeight="1" x14ac:dyDescent="0.2">
      <c r="A63" s="1566" t="s">
        <v>1483</v>
      </c>
      <c r="B63" s="1566"/>
      <c r="C63" s="1566"/>
      <c r="D63" s="1566"/>
      <c r="E63" s="1566"/>
      <c r="F63" s="1566"/>
      <c r="L63" s="62"/>
      <c r="M63" s="62"/>
    </row>
    <row r="64" spans="1:14" x14ac:dyDescent="0.2">
      <c r="A64" s="234"/>
      <c r="B64" s="85"/>
      <c r="C64" s="212"/>
      <c r="D64" s="212"/>
      <c r="E64" s="212"/>
      <c r="F64" s="212"/>
      <c r="G64" s="212"/>
      <c r="H64" s="212"/>
      <c r="I64" s="212"/>
      <c r="J64" s="212"/>
      <c r="K64" s="212"/>
      <c r="L64" s="212"/>
      <c r="M64" s="212"/>
      <c r="N64" s="212"/>
    </row>
    <row r="65" spans="1:14" x14ac:dyDescent="0.2">
      <c r="A65" s="234"/>
      <c r="B65" s="85"/>
      <c r="C65" s="212"/>
      <c r="D65" s="212"/>
      <c r="E65" s="212"/>
      <c r="F65" s="212"/>
      <c r="G65" s="212"/>
      <c r="H65" s="212"/>
      <c r="I65" s="212"/>
      <c r="J65" s="212"/>
      <c r="K65" s="212"/>
      <c r="L65" s="212"/>
      <c r="M65" s="212"/>
      <c r="N65" s="212"/>
    </row>
    <row r="66" spans="1:14" x14ac:dyDescent="0.2">
      <c r="A66" s="234"/>
      <c r="B66" s="85"/>
      <c r="C66" s="212"/>
      <c r="D66" s="212"/>
      <c r="E66" s="212"/>
      <c r="F66" s="212"/>
      <c r="G66" s="212"/>
      <c r="H66" s="212"/>
      <c r="I66" s="212"/>
      <c r="J66" s="212"/>
      <c r="K66" s="212"/>
      <c r="L66" s="212"/>
      <c r="M66" s="212"/>
      <c r="N66" s="212"/>
    </row>
    <row r="67" spans="1:14" x14ac:dyDescent="0.2">
      <c r="L67" s="62"/>
      <c r="M67" s="62"/>
    </row>
  </sheetData>
  <sheetProtection algorithmName="SHA-512" hashValue="aBZSdFCXErDgM8KhSSjUJ702iP7Jee2xaeCU5itcDMgxwEbWrcyv2gHUxcy8NQtRKrcCT4i4DDlvCoX8IMHvbw==" saltValue="WUSqqfEwumE4AfVXG83EPA==" spinCount="100000" sheet="1" objects="1" scenarios="1"/>
  <mergeCells count="11">
    <mergeCell ref="A63:F63"/>
    <mergeCell ref="A61:F61"/>
    <mergeCell ref="A62:F62"/>
    <mergeCell ref="C1:F1"/>
    <mergeCell ref="A10:F10"/>
    <mergeCell ref="A11:F11"/>
    <mergeCell ref="C6:F6"/>
    <mergeCell ref="C2:F2"/>
    <mergeCell ref="C3:F3"/>
    <mergeCell ref="C4:F4"/>
    <mergeCell ref="C5:F5"/>
  </mergeCells>
  <phoneticPr fontId="12" type="noConversion"/>
  <dataValidations count="2">
    <dataValidation type="whole" allowBlank="1" showErrorMessage="1" error="Enter whole number." sqref="L29:M32 L44:M45 C39:J42 C34:J35 C44:J45 L34:M35 C29:J32 L39:M42 L20:M23 C20:J23" xr:uid="{00000000-0002-0000-1500-000000000000}">
      <formula1>-100000000000000</formula1>
      <formula2>100000000000000</formula2>
    </dataValidation>
    <dataValidation type="whole" allowBlank="1" showInputMessage="1" showErrorMessage="1" error="Enter a 3-digit agency control number." sqref="C1:F1" xr:uid="{00000000-0002-0000-1500-000001000000}">
      <formula1>100</formula1>
      <formula2>999</formula2>
    </dataValidation>
  </dataValidations>
  <pageMargins left="0.7" right="0.7" top="1" bottom="0.75" header="0.3" footer="0.3"/>
  <pageSetup paperSize="5" scale="60" fitToHeight="2" orientation="landscape" cellComments="asDisplayed" r:id="rId1"/>
  <headerFooter alignWithMargins="0">
    <oddHeader>&amp;C&amp;"Arial,Bold"Attachment HE-10
Financial Statement Template
&amp;A</oddHeader>
    <oddFooter>&amp;L&amp;"Arial,Regular"&amp;F \ &amp;A&amp;R&amp;"Arial,Regular"Page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75"/>
  <sheetViews>
    <sheetView showGridLines="0" zoomScale="90" zoomScaleNormal="90" zoomScaleSheetLayoutView="75" workbookViewId="0"/>
  </sheetViews>
  <sheetFormatPr defaultColWidth="10.6640625" defaultRowHeight="12.75" x14ac:dyDescent="0.2"/>
  <cols>
    <col min="1" max="1" width="29" style="295" customWidth="1"/>
    <col min="2" max="4" width="16.83203125" style="295" customWidth="1"/>
    <col min="5" max="5" width="26.33203125" style="295" customWidth="1"/>
    <col min="6" max="6" width="26.6640625" style="295" customWidth="1"/>
    <col min="7" max="7" width="8.1640625" style="295" customWidth="1"/>
    <col min="8" max="8" width="8" style="295" customWidth="1"/>
    <col min="9" max="9" width="12" style="295" customWidth="1"/>
    <col min="10" max="11" width="14.83203125" style="295" customWidth="1"/>
    <col min="12" max="16384" width="10.6640625" style="295"/>
  </cols>
  <sheetData>
    <row r="1" spans="1:11" x14ac:dyDescent="0.2">
      <c r="A1" s="824" t="s">
        <v>1212</v>
      </c>
      <c r="D1" s="1595">
        <f>FST!E1</f>
        <v>0</v>
      </c>
      <c r="E1" s="1595"/>
      <c r="F1" s="1595"/>
      <c r="G1" s="1595"/>
      <c r="H1" s="1595"/>
    </row>
    <row r="2" spans="1:11" s="33" customFormat="1" ht="37.5" customHeight="1" x14ac:dyDescent="0.2">
      <c r="A2" s="824" t="s">
        <v>770</v>
      </c>
      <c r="B2" s="31"/>
      <c r="C2" s="220"/>
      <c r="D2" s="1595" t="str">
        <f>FST!E2</f>
        <v/>
      </c>
      <c r="E2" s="1595"/>
      <c r="F2" s="1595"/>
      <c r="G2" s="1595"/>
      <c r="H2" s="1595"/>
    </row>
    <row r="3" spans="1:11" s="33" customFormat="1" x14ac:dyDescent="0.2">
      <c r="A3" s="824" t="s">
        <v>771</v>
      </c>
      <c r="B3" s="220"/>
      <c r="C3" s="220"/>
      <c r="D3" s="1603">
        <f>FST!E3</f>
        <v>0</v>
      </c>
      <c r="E3" s="1603"/>
      <c r="F3" s="1603"/>
      <c r="G3" s="1603"/>
      <c r="H3" s="1603"/>
    </row>
    <row r="4" spans="1:11" s="33" customFormat="1" x14ac:dyDescent="0.2">
      <c r="A4" s="824" t="s">
        <v>773</v>
      </c>
      <c r="B4" s="220"/>
      <c r="C4" s="220"/>
      <c r="D4" s="1606">
        <f>FST!E4</f>
        <v>0</v>
      </c>
      <c r="E4" s="1606"/>
      <c r="F4" s="1606"/>
      <c r="G4" s="1606"/>
      <c r="H4" s="1606"/>
    </row>
    <row r="5" spans="1:11" s="33" customFormat="1" x14ac:dyDescent="0.2">
      <c r="A5" s="825" t="s">
        <v>774</v>
      </c>
      <c r="B5" s="220"/>
      <c r="C5" s="220"/>
      <c r="D5" s="1603">
        <f>FST!E5</f>
        <v>0</v>
      </c>
      <c r="E5" s="1603"/>
      <c r="F5" s="1603"/>
      <c r="G5" s="1603"/>
      <c r="H5" s="1603"/>
    </row>
    <row r="6" spans="1:11" s="33" customFormat="1" x14ac:dyDescent="0.2">
      <c r="A6" s="826" t="s">
        <v>775</v>
      </c>
      <c r="B6" s="220"/>
      <c r="C6" s="220"/>
      <c r="D6" s="1607">
        <f>FST!E6</f>
        <v>0</v>
      </c>
      <c r="E6" s="1607"/>
      <c r="F6" s="1607"/>
      <c r="G6" s="1607"/>
      <c r="H6" s="1607"/>
    </row>
    <row r="7" spans="1:11" s="33" customFormat="1" ht="12.6" customHeight="1" x14ac:dyDescent="0.2">
      <c r="A7" s="67" t="s">
        <v>583</v>
      </c>
      <c r="B7" s="34"/>
    </row>
    <row r="8" spans="1:11" s="33" customFormat="1" ht="12.6" customHeight="1" x14ac:dyDescent="0.2">
      <c r="A8" s="827"/>
      <c r="B8" s="34"/>
    </row>
    <row r="9" spans="1:11" s="33" customFormat="1" ht="12.6" customHeight="1" x14ac:dyDescent="0.2">
      <c r="A9" s="827"/>
      <c r="B9" s="34"/>
    </row>
    <row r="10" spans="1:11" s="33" customFormat="1" ht="26.25" customHeight="1" x14ac:dyDescent="0.2">
      <c r="A10" s="1263" t="s">
        <v>53</v>
      </c>
      <c r="B10" s="1605"/>
      <c r="C10" s="1605"/>
      <c r="D10" s="1605"/>
      <c r="E10" s="1605"/>
      <c r="F10" s="1605"/>
      <c r="G10" s="1605"/>
      <c r="H10" s="1605"/>
      <c r="I10" s="1605"/>
      <c r="J10" s="1605"/>
      <c r="K10" s="1605"/>
    </row>
    <row r="11" spans="1:11" s="33" customFormat="1" x14ac:dyDescent="0.2">
      <c r="A11" s="1271" t="s">
        <v>1362</v>
      </c>
      <c r="B11" s="1604"/>
      <c r="C11" s="1604"/>
      <c r="D11" s="1604"/>
      <c r="E11" s="1604"/>
      <c r="F11" s="1604"/>
    </row>
    <row r="12" spans="1:11" ht="69" customHeight="1" x14ac:dyDescent="0.2">
      <c r="A12" s="1608" t="s">
        <v>1713</v>
      </c>
      <c r="B12" s="1609"/>
      <c r="C12" s="1609"/>
      <c r="D12" s="1609"/>
      <c r="E12" s="1609"/>
      <c r="F12" s="1609"/>
      <c r="G12" s="1609"/>
      <c r="H12" s="1609"/>
      <c r="I12" s="1609"/>
    </row>
    <row r="14" spans="1:11" x14ac:dyDescent="0.2">
      <c r="A14" s="296" t="s">
        <v>556</v>
      </c>
    </row>
    <row r="16" spans="1:11" s="408" customFormat="1" ht="38.25" x14ac:dyDescent="0.2">
      <c r="A16" s="1601" t="s">
        <v>712</v>
      </c>
      <c r="B16" s="1602"/>
      <c r="C16" s="1602"/>
      <c r="D16" s="408" t="s">
        <v>988</v>
      </c>
      <c r="E16" s="1586" t="s">
        <v>1263</v>
      </c>
      <c r="F16" s="1602"/>
      <c r="G16" s="1602"/>
      <c r="H16" s="1602"/>
    </row>
    <row r="17" spans="1:8" s="408" customFormat="1" x14ac:dyDescent="0.2"/>
    <row r="18" spans="1:8" ht="26.1" customHeight="1" x14ac:dyDescent="0.2">
      <c r="A18" s="1591"/>
      <c r="B18" s="1327"/>
      <c r="C18" s="1328"/>
      <c r="D18" s="302"/>
      <c r="E18" s="1591"/>
      <c r="F18" s="1207"/>
      <c r="G18" s="1207"/>
      <c r="H18" s="1208"/>
    </row>
    <row r="19" spans="1:8" ht="26.1" customHeight="1" x14ac:dyDescent="0.2">
      <c r="A19" s="1591"/>
      <c r="B19" s="1592"/>
      <c r="C19" s="1593"/>
      <c r="D19" s="302"/>
      <c r="E19" s="1591"/>
      <c r="F19" s="1592"/>
      <c r="G19" s="1592"/>
      <c r="H19" s="1593"/>
    </row>
    <row r="20" spans="1:8" ht="26.1" customHeight="1" x14ac:dyDescent="0.2">
      <c r="A20" s="1591"/>
      <c r="B20" s="1592"/>
      <c r="C20" s="1593"/>
      <c r="D20" s="302"/>
      <c r="E20" s="1591"/>
      <c r="F20" s="1592"/>
      <c r="G20" s="1592"/>
      <c r="H20" s="1593"/>
    </row>
    <row r="21" spans="1:8" ht="26.1" customHeight="1" x14ac:dyDescent="0.2">
      <c r="A21" s="1591"/>
      <c r="B21" s="1592"/>
      <c r="C21" s="1593"/>
      <c r="D21" s="302"/>
      <c r="E21" s="1591"/>
      <c r="F21" s="1592"/>
      <c r="G21" s="1592"/>
      <c r="H21" s="1593"/>
    </row>
    <row r="22" spans="1:8" ht="26.1" customHeight="1" x14ac:dyDescent="0.2">
      <c r="A22" s="1591"/>
      <c r="B22" s="1592"/>
      <c r="C22" s="1593"/>
      <c r="D22" s="302"/>
      <c r="E22" s="1591"/>
      <c r="F22" s="1592"/>
      <c r="G22" s="1592"/>
      <c r="H22" s="1593"/>
    </row>
    <row r="23" spans="1:8" ht="26.1" customHeight="1" x14ac:dyDescent="0.2">
      <c r="A23" s="1591"/>
      <c r="B23" s="1592"/>
      <c r="C23" s="1593"/>
      <c r="D23" s="302"/>
      <c r="E23" s="1591"/>
      <c r="F23" s="1592"/>
      <c r="G23" s="1592"/>
      <c r="H23" s="1593"/>
    </row>
    <row r="24" spans="1:8" ht="26.1" customHeight="1" x14ac:dyDescent="0.2">
      <c r="A24" s="1591"/>
      <c r="B24" s="1592"/>
      <c r="C24" s="1593"/>
      <c r="D24" s="302"/>
      <c r="E24" s="1591"/>
      <c r="F24" s="1592"/>
      <c r="G24" s="1592"/>
      <c r="H24" s="1593"/>
    </row>
    <row r="25" spans="1:8" ht="26.1" customHeight="1" x14ac:dyDescent="0.2">
      <c r="A25" s="1591"/>
      <c r="B25" s="1592"/>
      <c r="C25" s="1593"/>
      <c r="D25" s="302"/>
      <c r="E25" s="1591"/>
      <c r="F25" s="1592"/>
      <c r="G25" s="1592"/>
      <c r="H25" s="1593"/>
    </row>
    <row r="26" spans="1:8" ht="26.1" customHeight="1" x14ac:dyDescent="0.2">
      <c r="A26" s="1591"/>
      <c r="B26" s="1592"/>
      <c r="C26" s="1593"/>
      <c r="D26" s="302"/>
      <c r="E26" s="1591"/>
      <c r="F26" s="1592"/>
      <c r="G26" s="1592"/>
      <c r="H26" s="1593"/>
    </row>
    <row r="27" spans="1:8" ht="26.1" customHeight="1" x14ac:dyDescent="0.2">
      <c r="A27" s="1591"/>
      <c r="B27" s="1592"/>
      <c r="C27" s="1593"/>
      <c r="D27" s="302"/>
      <c r="E27" s="1591"/>
      <c r="F27" s="1592"/>
      <c r="G27" s="1592"/>
      <c r="H27" s="1593"/>
    </row>
    <row r="28" spans="1:8" ht="26.1" customHeight="1" x14ac:dyDescent="0.2">
      <c r="A28" s="1591"/>
      <c r="B28" s="1592"/>
      <c r="C28" s="1593"/>
      <c r="D28" s="302"/>
      <c r="E28" s="1591"/>
      <c r="F28" s="1592"/>
      <c r="G28" s="1592"/>
      <c r="H28" s="1593"/>
    </row>
    <row r="29" spans="1:8" ht="26.1" customHeight="1" x14ac:dyDescent="0.2">
      <c r="A29" s="1591"/>
      <c r="B29" s="1592"/>
      <c r="C29" s="1593"/>
      <c r="D29" s="302"/>
      <c r="E29" s="1591"/>
      <c r="F29" s="1592"/>
      <c r="G29" s="1592"/>
      <c r="H29" s="1593"/>
    </row>
    <row r="30" spans="1:8" ht="26.1" customHeight="1" x14ac:dyDescent="0.2">
      <c r="A30" s="1591"/>
      <c r="B30" s="1592"/>
      <c r="C30" s="1593"/>
      <c r="D30" s="302"/>
      <c r="E30" s="1591"/>
      <c r="F30" s="1592"/>
      <c r="G30" s="1592"/>
      <c r="H30" s="1593"/>
    </row>
    <row r="31" spans="1:8" ht="26.1" customHeight="1" x14ac:dyDescent="0.2">
      <c r="A31" s="1591"/>
      <c r="B31" s="1592"/>
      <c r="C31" s="1593"/>
      <c r="D31" s="302"/>
      <c r="E31" s="1591"/>
      <c r="F31" s="1592"/>
      <c r="G31" s="1592"/>
      <c r="H31" s="1593"/>
    </row>
    <row r="32" spans="1:8" ht="26.1" customHeight="1" x14ac:dyDescent="0.2">
      <c r="A32" s="1591"/>
      <c r="B32" s="1592"/>
      <c r="C32" s="1593"/>
      <c r="D32" s="302"/>
      <c r="E32" s="1591"/>
      <c r="F32" s="1592"/>
      <c r="G32" s="1592"/>
      <c r="H32" s="1593"/>
    </row>
    <row r="33" spans="1:8" ht="13.5" thickBot="1" x14ac:dyDescent="0.25">
      <c r="C33" s="297" t="s">
        <v>472</v>
      </c>
      <c r="D33" s="298">
        <f>IF(SUM(D18:D32)=SUM('Combining FST'!Q86,'Combining FST'!Q97),SUM(D18:D32),"ERROR")</f>
        <v>0</v>
      </c>
      <c r="E33" s="295" t="s">
        <v>785</v>
      </c>
    </row>
    <row r="34" spans="1:8" ht="13.5" thickTop="1" x14ac:dyDescent="0.2">
      <c r="C34" s="455" t="s">
        <v>311</v>
      </c>
      <c r="D34" s="456">
        <f>SUM(D18:D32)</f>
        <v>0</v>
      </c>
    </row>
    <row r="35" spans="1:8" x14ac:dyDescent="0.2">
      <c r="C35" s="455" t="s">
        <v>106</v>
      </c>
      <c r="D35" s="456">
        <f>SUM('Combining FST'!Q86,'Combining FST'!Q97)-'TAB F5,  LT Liabilities'!D34</f>
        <v>0</v>
      </c>
    </row>
    <row r="36" spans="1:8" ht="53.25" customHeight="1" x14ac:dyDescent="0.2">
      <c r="A36" s="1590" t="s">
        <v>976</v>
      </c>
      <c r="B36" s="1166"/>
      <c r="C36" s="1166"/>
      <c r="D36" s="1166"/>
      <c r="E36" s="1166"/>
      <c r="F36" s="1167"/>
    </row>
    <row r="37" spans="1:8" x14ac:dyDescent="0.2">
      <c r="C37" s="297"/>
      <c r="D37" s="299"/>
    </row>
    <row r="38" spans="1:8" x14ac:dyDescent="0.2">
      <c r="A38" s="295" t="s">
        <v>1394</v>
      </c>
    </row>
    <row r="39" spans="1:8" s="408" customFormat="1" ht="58.5" customHeight="1" x14ac:dyDescent="0.2">
      <c r="A39" s="1601" t="s">
        <v>712</v>
      </c>
      <c r="B39" s="1602"/>
      <c r="C39" s="1602"/>
      <c r="D39" s="408" t="s">
        <v>988</v>
      </c>
      <c r="E39" s="1586" t="s">
        <v>1263</v>
      </c>
      <c r="F39" s="1602"/>
      <c r="G39" s="1602"/>
      <c r="H39" s="1602"/>
    </row>
    <row r="40" spans="1:8" s="408" customFormat="1" x14ac:dyDescent="0.2"/>
    <row r="41" spans="1:8" ht="26.1" customHeight="1" x14ac:dyDescent="0.2">
      <c r="A41" s="1591"/>
      <c r="B41" s="1327"/>
      <c r="C41" s="1328"/>
      <c r="D41" s="302"/>
      <c r="E41" s="1591"/>
      <c r="F41" s="1207"/>
      <c r="G41" s="1207"/>
      <c r="H41" s="1208"/>
    </row>
    <row r="42" spans="1:8" ht="26.1" customHeight="1" x14ac:dyDescent="0.2">
      <c r="A42" s="1591"/>
      <c r="B42" s="1592"/>
      <c r="C42" s="1593"/>
      <c r="D42" s="302"/>
      <c r="E42" s="1591"/>
      <c r="F42" s="1592"/>
      <c r="G42" s="1592"/>
      <c r="H42" s="1593"/>
    </row>
    <row r="43" spans="1:8" ht="26.1" customHeight="1" x14ac:dyDescent="0.2">
      <c r="A43" s="1591"/>
      <c r="B43" s="1592"/>
      <c r="C43" s="1593"/>
      <c r="D43" s="302"/>
      <c r="E43" s="1591"/>
      <c r="F43" s="1592"/>
      <c r="G43" s="1592"/>
      <c r="H43" s="1593"/>
    </row>
    <row r="44" spans="1:8" ht="26.1" customHeight="1" x14ac:dyDescent="0.2">
      <c r="A44" s="1591"/>
      <c r="B44" s="1592"/>
      <c r="C44" s="1593"/>
      <c r="D44" s="302"/>
      <c r="E44" s="1591"/>
      <c r="F44" s="1592"/>
      <c r="G44" s="1592"/>
      <c r="H44" s="1593"/>
    </row>
    <row r="45" spans="1:8" ht="26.1" customHeight="1" x14ac:dyDescent="0.2">
      <c r="A45" s="1591"/>
      <c r="B45" s="1592"/>
      <c r="C45" s="1593"/>
      <c r="D45" s="302"/>
      <c r="E45" s="1591"/>
      <c r="F45" s="1592"/>
      <c r="G45" s="1592"/>
      <c r="H45" s="1593"/>
    </row>
    <row r="46" spans="1:8" ht="26.1" customHeight="1" x14ac:dyDescent="0.2">
      <c r="A46" s="1591"/>
      <c r="B46" s="1592"/>
      <c r="C46" s="1593"/>
      <c r="D46" s="302"/>
      <c r="E46" s="1591"/>
      <c r="F46" s="1592"/>
      <c r="G46" s="1592"/>
      <c r="H46" s="1593"/>
    </row>
    <row r="47" spans="1:8" ht="26.1" customHeight="1" x14ac:dyDescent="0.2">
      <c r="A47" s="1591"/>
      <c r="B47" s="1592"/>
      <c r="C47" s="1593"/>
      <c r="D47" s="302"/>
      <c r="E47" s="1591"/>
      <c r="F47" s="1592"/>
      <c r="G47" s="1592"/>
      <c r="H47" s="1593"/>
    </row>
    <row r="48" spans="1:8" ht="26.1" customHeight="1" x14ac:dyDescent="0.2">
      <c r="A48" s="1591"/>
      <c r="B48" s="1592"/>
      <c r="C48" s="1593"/>
      <c r="D48" s="302"/>
      <c r="E48" s="1591"/>
      <c r="F48" s="1592"/>
      <c r="G48" s="1592"/>
      <c r="H48" s="1593"/>
    </row>
    <row r="49" spans="1:9" ht="26.1" customHeight="1" x14ac:dyDescent="0.2">
      <c r="A49" s="1591"/>
      <c r="B49" s="1592"/>
      <c r="C49" s="1593"/>
      <c r="D49" s="302"/>
      <c r="E49" s="1591"/>
      <c r="F49" s="1592"/>
      <c r="G49" s="1592"/>
      <c r="H49" s="1593"/>
    </row>
    <row r="50" spans="1:9" ht="26.1" customHeight="1" x14ac:dyDescent="0.2">
      <c r="A50" s="1591"/>
      <c r="B50" s="1592"/>
      <c r="C50" s="1593"/>
      <c r="D50" s="302"/>
      <c r="E50" s="1591"/>
      <c r="F50" s="1592"/>
      <c r="G50" s="1592"/>
      <c r="H50" s="1593"/>
    </row>
    <row r="51" spans="1:9" ht="26.1" customHeight="1" x14ac:dyDescent="0.2">
      <c r="A51" s="1591"/>
      <c r="B51" s="1592"/>
      <c r="C51" s="1593"/>
      <c r="D51" s="302"/>
      <c r="E51" s="1591"/>
      <c r="F51" s="1592"/>
      <c r="G51" s="1592"/>
      <c r="H51" s="1593"/>
    </row>
    <row r="52" spans="1:9" ht="26.1" customHeight="1" x14ac:dyDescent="0.2">
      <c r="A52" s="1591"/>
      <c r="B52" s="1592"/>
      <c r="C52" s="1593"/>
      <c r="D52" s="302"/>
      <c r="E52" s="1591"/>
      <c r="F52" s="1592"/>
      <c r="G52" s="1592"/>
      <c r="H52" s="1593"/>
    </row>
    <row r="53" spans="1:9" ht="26.1" customHeight="1" x14ac:dyDescent="0.2">
      <c r="A53" s="1591"/>
      <c r="B53" s="1592"/>
      <c r="C53" s="1593"/>
      <c r="D53" s="302"/>
      <c r="E53" s="1591"/>
      <c r="F53" s="1592"/>
      <c r="G53" s="1592"/>
      <c r="H53" s="1593"/>
    </row>
    <row r="54" spans="1:9" ht="26.1" customHeight="1" x14ac:dyDescent="0.2">
      <c r="A54" s="1591"/>
      <c r="B54" s="1592"/>
      <c r="C54" s="1593"/>
      <c r="D54" s="302"/>
      <c r="E54" s="1591"/>
      <c r="F54" s="1592"/>
      <c r="G54" s="1592"/>
      <c r="H54" s="1593"/>
    </row>
    <row r="55" spans="1:9" ht="26.1" customHeight="1" x14ac:dyDescent="0.2">
      <c r="A55" s="1591"/>
      <c r="B55" s="1592"/>
      <c r="C55" s="1593"/>
      <c r="D55" s="302"/>
      <c r="E55" s="1591"/>
      <c r="F55" s="1592"/>
      <c r="G55" s="1592"/>
      <c r="H55" s="1593"/>
    </row>
    <row r="56" spans="1:9" ht="13.5" thickBot="1" x14ac:dyDescent="0.25">
      <c r="C56" s="297" t="s">
        <v>473</v>
      </c>
      <c r="D56" s="298">
        <f>IF(SUM(D41:D55)=SUM('Combining FST'!Q87,'Combining FST'!Q98),SUM(D41:D55),"ERROR")</f>
        <v>0</v>
      </c>
      <c r="E56" s="295" t="s">
        <v>786</v>
      </c>
    </row>
    <row r="57" spans="1:9" ht="13.5" thickTop="1" x14ac:dyDescent="0.2">
      <c r="C57" s="457" t="s">
        <v>311</v>
      </c>
      <c r="D57" s="458">
        <f>SUM(D41:D55)</f>
        <v>0</v>
      </c>
    </row>
    <row r="58" spans="1:9" x14ac:dyDescent="0.2">
      <c r="C58" s="457" t="s">
        <v>106</v>
      </c>
      <c r="D58" s="458">
        <f>SUM('Combining FST'!Q87,'Combining FST'!Q98)-'TAB F5,  LT Liabilities'!D57</f>
        <v>0</v>
      </c>
    </row>
    <row r="59" spans="1:9" ht="55.5" customHeight="1" x14ac:dyDescent="0.2">
      <c r="A59" s="1590" t="s">
        <v>977</v>
      </c>
      <c r="B59" s="1166"/>
      <c r="C59" s="1166"/>
      <c r="D59" s="1166"/>
      <c r="E59" s="1166"/>
      <c r="F59" s="1167"/>
    </row>
    <row r="62" spans="1:9" ht="25.5" x14ac:dyDescent="0.2">
      <c r="C62" s="297"/>
      <c r="D62" s="299"/>
      <c r="I62" s="408" t="s">
        <v>506</v>
      </c>
    </row>
    <row r="63" spans="1:9" ht="103.5" customHeight="1" x14ac:dyDescent="0.2">
      <c r="A63" s="1598" t="s">
        <v>1856</v>
      </c>
      <c r="B63" s="1599"/>
      <c r="C63" s="1599"/>
      <c r="D63" s="1599"/>
      <c r="E63" s="1599"/>
      <c r="F63" s="1599"/>
      <c r="G63" s="1599"/>
      <c r="H63" s="1599"/>
      <c r="I63" s="768" t="str">
        <f>IF(D56=0,"N/A","Answer Required")</f>
        <v>N/A</v>
      </c>
    </row>
    <row r="64" spans="1:9" ht="93.75" customHeight="1" x14ac:dyDescent="0.2">
      <c r="A64" s="1600" t="str">
        <f>IF(I63="Yes","Answer Required","N/A")</f>
        <v>N/A</v>
      </c>
      <c r="B64" s="1600"/>
      <c r="C64" s="1600"/>
      <c r="D64" s="1600"/>
      <c r="E64" s="1600"/>
      <c r="F64" s="1600"/>
      <c r="G64" s="1600"/>
      <c r="H64" s="1600"/>
      <c r="I64" s="1600"/>
    </row>
    <row r="65" spans="1:9" ht="32.25" customHeight="1" x14ac:dyDescent="0.2">
      <c r="C65" s="297"/>
      <c r="D65" s="299"/>
      <c r="I65" s="408" t="s">
        <v>506</v>
      </c>
    </row>
    <row r="66" spans="1:9" ht="81" customHeight="1" x14ac:dyDescent="0.2">
      <c r="A66" s="1599" t="s">
        <v>1363</v>
      </c>
      <c r="B66" s="1599"/>
      <c r="C66" s="1599"/>
      <c r="D66" s="1599"/>
      <c r="E66" s="1599"/>
      <c r="F66" s="1599"/>
      <c r="G66" s="1599"/>
      <c r="H66" s="1599"/>
      <c r="I66" s="768" t="str">
        <f>IF(D56=0,"N/A","Answer Required")</f>
        <v>N/A</v>
      </c>
    </row>
    <row r="67" spans="1:9" ht="97.5" customHeight="1" x14ac:dyDescent="0.2">
      <c r="A67" s="1600" t="str">
        <f>IF(I66="Yes","Answer Required","N/A")</f>
        <v>N/A</v>
      </c>
      <c r="B67" s="1600"/>
      <c r="C67" s="1600"/>
      <c r="D67" s="1600"/>
      <c r="E67" s="1600"/>
      <c r="F67" s="1600"/>
      <c r="G67" s="1600"/>
      <c r="H67" s="1600"/>
      <c r="I67" s="1600"/>
    </row>
    <row r="68" spans="1:9" ht="25.5" x14ac:dyDescent="0.2">
      <c r="I68" s="408" t="s">
        <v>506</v>
      </c>
    </row>
    <row r="69" spans="1:9" ht="81" customHeight="1" x14ac:dyDescent="0.2">
      <c r="A69" s="1599" t="s">
        <v>1310</v>
      </c>
      <c r="B69" s="1599"/>
      <c r="C69" s="1599"/>
      <c r="D69" s="1599"/>
      <c r="E69" s="1599"/>
      <c r="F69" s="1599"/>
      <c r="G69" s="1599"/>
      <c r="H69" s="1599"/>
      <c r="I69" s="768" t="str">
        <f>IF(OR(I63="Yes",I66="Yes"),"Answer Required","N/A")</f>
        <v>N/A</v>
      </c>
    </row>
    <row r="72" spans="1:9" hidden="1" x14ac:dyDescent="0.2">
      <c r="A72" s="296" t="s">
        <v>582</v>
      </c>
    </row>
    <row r="73" spans="1:9" hidden="1" x14ac:dyDescent="0.2"/>
    <row r="74" spans="1:9" s="408" customFormat="1" ht="63.75" hidden="1" x14ac:dyDescent="0.2">
      <c r="A74" s="229" t="s">
        <v>712</v>
      </c>
      <c r="B74" s="408" t="s">
        <v>988</v>
      </c>
      <c r="C74" s="408" t="s">
        <v>1264</v>
      </c>
      <c r="D74" s="295"/>
      <c r="E74" s="295"/>
      <c r="F74" s="295"/>
      <c r="G74" s="1586"/>
      <c r="H74" s="1586"/>
    </row>
    <row r="75" spans="1:9" s="408" customFormat="1" ht="45" hidden="1" customHeight="1" x14ac:dyDescent="0.2">
      <c r="A75" s="974"/>
      <c r="B75" s="315"/>
      <c r="C75" s="974"/>
      <c r="D75" s="295"/>
      <c r="E75" s="295"/>
      <c r="F75" s="295"/>
    </row>
    <row r="76" spans="1:9" s="408" customFormat="1" ht="45" hidden="1" customHeight="1" x14ac:dyDescent="0.2">
      <c r="A76" s="974"/>
      <c r="B76" s="315"/>
      <c r="C76" s="974"/>
      <c r="D76" s="295"/>
      <c r="E76" s="295"/>
      <c r="F76" s="295"/>
    </row>
    <row r="77" spans="1:9" s="408" customFormat="1" ht="45" hidden="1" customHeight="1" x14ac:dyDescent="0.2">
      <c r="A77" s="974"/>
      <c r="B77" s="315"/>
      <c r="C77" s="974"/>
      <c r="D77" s="295"/>
      <c r="E77" s="295"/>
      <c r="F77" s="295"/>
    </row>
    <row r="78" spans="1:9" s="408" customFormat="1" ht="45" hidden="1" customHeight="1" x14ac:dyDescent="0.2">
      <c r="A78" s="974"/>
      <c r="B78" s="315"/>
      <c r="C78" s="974"/>
      <c r="D78" s="295"/>
      <c r="E78" s="295"/>
      <c r="F78" s="295"/>
    </row>
    <row r="79" spans="1:9" s="408" customFormat="1" ht="45" hidden="1" customHeight="1" x14ac:dyDescent="0.2">
      <c r="A79" s="974"/>
      <c r="B79" s="315"/>
      <c r="C79" s="974"/>
      <c r="D79" s="295"/>
      <c r="E79" s="295"/>
      <c r="F79" s="295"/>
    </row>
    <row r="80" spans="1:9" s="408" customFormat="1" ht="45" hidden="1" customHeight="1" x14ac:dyDescent="0.2">
      <c r="A80" s="974"/>
      <c r="B80" s="315"/>
      <c r="C80" s="974"/>
      <c r="D80" s="295"/>
      <c r="E80" s="295"/>
      <c r="F80" s="295"/>
    </row>
    <row r="81" spans="1:8" s="408" customFormat="1" ht="45" hidden="1" customHeight="1" x14ac:dyDescent="0.2">
      <c r="A81" s="974"/>
      <c r="B81" s="315"/>
      <c r="C81" s="974"/>
      <c r="D81" s="295"/>
      <c r="E81" s="295"/>
      <c r="F81" s="295"/>
    </row>
    <row r="82" spans="1:8" s="408" customFormat="1" ht="45" hidden="1" customHeight="1" x14ac:dyDescent="0.2">
      <c r="A82" s="974"/>
      <c r="B82" s="315"/>
      <c r="C82" s="974"/>
      <c r="D82" s="295"/>
      <c r="E82" s="295"/>
      <c r="F82" s="295"/>
    </row>
    <row r="83" spans="1:8" ht="26.25" hidden="1" thickBot="1" x14ac:dyDescent="0.25">
      <c r="A83" s="977" t="s">
        <v>49</v>
      </c>
      <c r="B83" s="301">
        <f>IF(SUM(B75:B82)=SUM('Combining FST'!Q85,'Combining FST'!Q96),SUM(B75:B82),"ERROR")</f>
        <v>0</v>
      </c>
      <c r="C83" s="295" t="s">
        <v>787</v>
      </c>
    </row>
    <row r="84" spans="1:8" ht="13.5" hidden="1" thickTop="1" x14ac:dyDescent="0.2">
      <c r="A84" s="457" t="s">
        <v>311</v>
      </c>
      <c r="B84" s="458">
        <f>SUM(B75:B82)</f>
        <v>0</v>
      </c>
    </row>
    <row r="85" spans="1:8" hidden="1" x14ac:dyDescent="0.2">
      <c r="A85" s="457" t="s">
        <v>106</v>
      </c>
      <c r="B85" s="458">
        <f>SUM('Combining FST'!Q85,'Combining FST'!Q96)-'TAB F5,  LT Liabilities'!B84</f>
        <v>0</v>
      </c>
    </row>
    <row r="86" spans="1:8" ht="58.5" hidden="1" customHeight="1" x14ac:dyDescent="0.2">
      <c r="A86" s="1587" t="s">
        <v>978</v>
      </c>
      <c r="B86" s="1588"/>
      <c r="C86" s="1588"/>
      <c r="D86" s="1588"/>
      <c r="E86" s="1588"/>
      <c r="F86" s="1589"/>
    </row>
    <row r="87" spans="1:8" hidden="1" x14ac:dyDescent="0.2">
      <c r="A87" s="300"/>
    </row>
    <row r="88" spans="1:8" hidden="1" x14ac:dyDescent="0.2">
      <c r="A88" s="300"/>
    </row>
    <row r="89" spans="1:8" hidden="1" x14ac:dyDescent="0.2">
      <c r="A89" s="300"/>
    </row>
    <row r="90" spans="1:8" hidden="1" x14ac:dyDescent="0.2">
      <c r="A90" s="300"/>
    </row>
    <row r="91" spans="1:8" hidden="1" x14ac:dyDescent="0.2">
      <c r="A91" s="300"/>
    </row>
    <row r="92" spans="1:8" hidden="1" x14ac:dyDescent="0.2"/>
    <row r="94" spans="1:8" hidden="1" x14ac:dyDescent="0.2">
      <c r="A94" s="296" t="s">
        <v>508</v>
      </c>
    </row>
    <row r="95" spans="1:8" hidden="1" x14ac:dyDescent="0.2"/>
    <row r="96" spans="1:8" s="408" customFormat="1" ht="63.75" hidden="1" x14ac:dyDescent="0.2">
      <c r="A96" s="229" t="s">
        <v>712</v>
      </c>
      <c r="B96" s="408" t="s">
        <v>988</v>
      </c>
      <c r="C96" s="408" t="s">
        <v>1264</v>
      </c>
      <c r="D96" s="295"/>
      <c r="E96" s="295"/>
      <c r="F96" s="295"/>
      <c r="G96" s="1586"/>
      <c r="H96" s="1586"/>
    </row>
    <row r="97" spans="1:6" s="408" customFormat="1" ht="39" hidden="1" customHeight="1" x14ac:dyDescent="0.2">
      <c r="A97" s="974"/>
      <c r="B97" s="315"/>
      <c r="C97" s="974"/>
      <c r="D97" s="295"/>
      <c r="E97" s="295"/>
      <c r="F97" s="295"/>
    </row>
    <row r="98" spans="1:6" s="408" customFormat="1" ht="39" hidden="1" customHeight="1" x14ac:dyDescent="0.2">
      <c r="A98" s="974"/>
      <c r="B98" s="315"/>
      <c r="C98" s="974"/>
      <c r="D98" s="295"/>
      <c r="E98" s="295"/>
      <c r="F98" s="295"/>
    </row>
    <row r="99" spans="1:6" s="408" customFormat="1" ht="39" hidden="1" customHeight="1" x14ac:dyDescent="0.2">
      <c r="A99" s="974"/>
      <c r="B99" s="315"/>
      <c r="C99" s="974"/>
      <c r="D99" s="295"/>
      <c r="E99" s="295"/>
      <c r="F99" s="295"/>
    </row>
    <row r="100" spans="1:6" s="408" customFormat="1" ht="39" hidden="1" customHeight="1" x14ac:dyDescent="0.2">
      <c r="A100" s="974"/>
      <c r="B100" s="315"/>
      <c r="C100" s="974"/>
      <c r="D100" s="295"/>
      <c r="E100" s="295"/>
      <c r="F100" s="295"/>
    </row>
    <row r="101" spans="1:6" s="408" customFormat="1" ht="39" hidden="1" customHeight="1" x14ac:dyDescent="0.2">
      <c r="A101" s="974"/>
      <c r="B101" s="315"/>
      <c r="C101" s="974"/>
      <c r="D101" s="295"/>
      <c r="E101" s="295"/>
      <c r="F101" s="295"/>
    </row>
    <row r="102" spans="1:6" s="408" customFormat="1" ht="39" hidden="1" customHeight="1" x14ac:dyDescent="0.2">
      <c r="A102" s="974"/>
      <c r="B102" s="315"/>
      <c r="C102" s="974"/>
      <c r="D102" s="295"/>
      <c r="E102" s="295"/>
      <c r="F102" s="295"/>
    </row>
    <row r="103" spans="1:6" s="408" customFormat="1" ht="39" hidden="1" customHeight="1" x14ac:dyDescent="0.2">
      <c r="A103" s="974"/>
      <c r="B103" s="315"/>
      <c r="C103" s="974"/>
      <c r="D103" s="295"/>
      <c r="E103" s="295"/>
      <c r="F103" s="295"/>
    </row>
    <row r="104" spans="1:6" s="408" customFormat="1" ht="39" hidden="1" customHeight="1" x14ac:dyDescent="0.2">
      <c r="A104" s="974"/>
      <c r="B104" s="315"/>
      <c r="C104" s="974"/>
      <c r="D104" s="295"/>
      <c r="E104" s="295"/>
      <c r="F104" s="295"/>
    </row>
    <row r="105" spans="1:6" s="408" customFormat="1" ht="39" hidden="1" customHeight="1" x14ac:dyDescent="0.2">
      <c r="A105" s="974"/>
      <c r="B105" s="315"/>
      <c r="C105" s="974"/>
      <c r="D105" s="295"/>
      <c r="E105" s="295"/>
      <c r="F105" s="295"/>
    </row>
    <row r="106" spans="1:6" ht="26.25" hidden="1" thickBot="1" x14ac:dyDescent="0.25">
      <c r="A106" s="977" t="s">
        <v>516</v>
      </c>
      <c r="B106" s="301">
        <f>IF(SUM(B97:B105)=SUM('Combining FST'!Q89,'Combining FST'!Q100),SUM(B97:B105),"ERROR")</f>
        <v>0</v>
      </c>
      <c r="C106" s="295" t="s">
        <v>788</v>
      </c>
    </row>
    <row r="107" spans="1:6" ht="13.5" hidden="1" thickTop="1" x14ac:dyDescent="0.2">
      <c r="A107" s="457" t="s">
        <v>311</v>
      </c>
      <c r="B107" s="458">
        <f>SUM(B97:B105)</f>
        <v>0</v>
      </c>
    </row>
    <row r="108" spans="1:6" hidden="1" x14ac:dyDescent="0.2">
      <c r="A108" s="457" t="s">
        <v>106</v>
      </c>
      <c r="B108" s="458">
        <f>SUM('Combining FST'!Q89,'Combining FST'!Q100)-'TAB F5,  LT Liabilities'!B107</f>
        <v>0</v>
      </c>
    </row>
    <row r="109" spans="1:6" ht="66.75" hidden="1" customHeight="1" x14ac:dyDescent="0.2">
      <c r="A109" s="1590" t="s">
        <v>979</v>
      </c>
      <c r="B109" s="1166"/>
      <c r="C109" s="1166"/>
      <c r="D109" s="1166"/>
      <c r="E109" s="1166"/>
      <c r="F109" s="1167"/>
    </row>
    <row r="110" spans="1:6" hidden="1" x14ac:dyDescent="0.2"/>
    <row r="112" spans="1:6" x14ac:dyDescent="0.2">
      <c r="A112" s="296" t="s">
        <v>1395</v>
      </c>
    </row>
    <row r="114" spans="1:7" s="408" customFormat="1" ht="38.25" x14ac:dyDescent="0.2">
      <c r="A114" s="229" t="s">
        <v>712</v>
      </c>
      <c r="B114" s="408" t="s">
        <v>988</v>
      </c>
      <c r="C114" s="1594" t="s">
        <v>681</v>
      </c>
      <c r="D114" s="1594"/>
      <c r="E114" s="1594"/>
      <c r="F114" s="1586"/>
      <c r="G114" s="1586"/>
    </row>
    <row r="115" spans="1:7" s="408" customFormat="1" ht="70.5" customHeight="1" x14ac:dyDescent="0.2">
      <c r="A115" s="974"/>
      <c r="B115" s="315"/>
      <c r="C115" s="1595" t="s">
        <v>1668</v>
      </c>
      <c r="D115" s="1595"/>
      <c r="E115" s="1595"/>
    </row>
    <row r="116" spans="1:7" s="408" customFormat="1" ht="80.25" customHeight="1" x14ac:dyDescent="0.2">
      <c r="A116" s="974"/>
      <c r="B116" s="315"/>
      <c r="C116" s="1587" t="s">
        <v>1669</v>
      </c>
      <c r="D116" s="1596"/>
      <c r="E116" s="1597"/>
    </row>
    <row r="117" spans="1:7" s="408" customFormat="1" ht="39" customHeight="1" x14ac:dyDescent="0.2">
      <c r="A117" s="974"/>
      <c r="B117" s="315"/>
      <c r="C117" s="1591"/>
      <c r="D117" s="1592"/>
      <c r="E117" s="1593"/>
    </row>
    <row r="118" spans="1:7" s="408" customFormat="1" ht="39" customHeight="1" x14ac:dyDescent="0.2">
      <c r="A118" s="974"/>
      <c r="B118" s="315"/>
      <c r="C118" s="1591"/>
      <c r="D118" s="1592"/>
      <c r="E118" s="1593"/>
    </row>
    <row r="119" spans="1:7" s="408" customFormat="1" ht="39" customHeight="1" x14ac:dyDescent="0.2">
      <c r="A119" s="974"/>
      <c r="B119" s="315"/>
      <c r="C119" s="1591"/>
      <c r="D119" s="1592"/>
      <c r="E119" s="1593"/>
    </row>
    <row r="120" spans="1:7" s="408" customFormat="1" ht="39" customHeight="1" x14ac:dyDescent="0.2">
      <c r="A120" s="974"/>
      <c r="B120" s="315"/>
      <c r="C120" s="1591"/>
      <c r="D120" s="1592"/>
      <c r="E120" s="1593"/>
    </row>
    <row r="121" spans="1:7" s="408" customFormat="1" ht="39" customHeight="1" x14ac:dyDescent="0.2">
      <c r="A121" s="974"/>
      <c r="B121" s="315"/>
      <c r="C121" s="1591"/>
      <c r="D121" s="1592"/>
      <c r="E121" s="1593"/>
    </row>
    <row r="122" spans="1:7" s="408" customFormat="1" ht="39" customHeight="1" x14ac:dyDescent="0.2">
      <c r="A122" s="974"/>
      <c r="B122" s="315"/>
      <c r="C122" s="1591"/>
      <c r="D122" s="1592"/>
      <c r="E122" s="1593"/>
    </row>
    <row r="123" spans="1:7" s="408" customFormat="1" ht="39" customHeight="1" x14ac:dyDescent="0.2">
      <c r="A123" s="974"/>
      <c r="B123" s="315"/>
      <c r="C123" s="1591"/>
      <c r="D123" s="1592"/>
      <c r="E123" s="1593"/>
    </row>
    <row r="124" spans="1:7" s="408" customFormat="1" ht="39" customHeight="1" x14ac:dyDescent="0.2">
      <c r="A124" s="974"/>
      <c r="B124" s="315"/>
      <c r="C124" s="1591"/>
      <c r="D124" s="1592"/>
      <c r="E124" s="1593"/>
    </row>
    <row r="125" spans="1:7" ht="26.25" thickBot="1" x14ac:dyDescent="0.25">
      <c r="A125" s="977" t="s">
        <v>935</v>
      </c>
      <c r="B125" s="301">
        <f>IF(SUM(B115:B124)=SUM('Combining FST'!Q91,'Combining FST'!Q104),SUM(B115:B124),"ERROR")</f>
        <v>0</v>
      </c>
      <c r="C125" s="295" t="s">
        <v>787</v>
      </c>
    </row>
    <row r="126" spans="1:7" ht="13.5" thickTop="1" x14ac:dyDescent="0.2">
      <c r="A126" s="457" t="s">
        <v>311</v>
      </c>
      <c r="B126" s="458">
        <f>SUM(B115:B124)</f>
        <v>0</v>
      </c>
    </row>
    <row r="127" spans="1:7" x14ac:dyDescent="0.2">
      <c r="A127" s="457" t="s">
        <v>106</v>
      </c>
      <c r="B127" s="458">
        <f>SUM('Combining FST'!Q91,'Combining FST'!Q104)-'TAB F5,  LT Liabilities'!B126</f>
        <v>0</v>
      </c>
    </row>
    <row r="128" spans="1:7" ht="91.5" customHeight="1" x14ac:dyDescent="0.2">
      <c r="A128" s="1590" t="s">
        <v>1397</v>
      </c>
      <c r="B128" s="1166"/>
      <c r="C128" s="1166"/>
      <c r="D128" s="1166"/>
      <c r="E128" s="1166"/>
      <c r="F128" s="1167"/>
    </row>
    <row r="131" spans="1:7" hidden="1" x14ac:dyDescent="0.2">
      <c r="A131" s="296" t="s">
        <v>934</v>
      </c>
    </row>
    <row r="132" spans="1:7" hidden="1" x14ac:dyDescent="0.2"/>
    <row r="133" spans="1:7" ht="38.25" hidden="1" x14ac:dyDescent="0.2">
      <c r="A133" s="229" t="s">
        <v>712</v>
      </c>
      <c r="B133" s="408" t="s">
        <v>988</v>
      </c>
      <c r="C133" s="1594" t="s">
        <v>681</v>
      </c>
      <c r="D133" s="1594"/>
      <c r="E133" s="1594"/>
      <c r="F133" s="1586"/>
      <c r="G133" s="1586"/>
    </row>
    <row r="134" spans="1:7" ht="39" hidden="1" customHeight="1" x14ac:dyDescent="0.2">
      <c r="A134" s="869"/>
      <c r="B134" s="868"/>
      <c r="C134" s="1610"/>
      <c r="D134" s="1595"/>
      <c r="E134" s="1595"/>
      <c r="F134" s="408"/>
      <c r="G134" s="408"/>
    </row>
    <row r="135" spans="1:7" ht="39" hidden="1" customHeight="1" x14ac:dyDescent="0.2">
      <c r="A135" s="869"/>
      <c r="B135" s="868"/>
      <c r="C135" s="1610"/>
      <c r="D135" s="1595"/>
      <c r="E135" s="1595"/>
      <c r="F135" s="408"/>
      <c r="G135" s="408"/>
    </row>
    <row r="136" spans="1:7" ht="39" hidden="1" customHeight="1" x14ac:dyDescent="0.2">
      <c r="A136" s="869"/>
      <c r="B136" s="868"/>
      <c r="C136" s="1610"/>
      <c r="D136" s="1595"/>
      <c r="E136" s="1595"/>
      <c r="F136" s="408"/>
      <c r="G136" s="408"/>
    </row>
    <row r="137" spans="1:7" ht="39" hidden="1" customHeight="1" x14ac:dyDescent="0.2">
      <c r="A137" s="869"/>
      <c r="B137" s="868"/>
      <c r="C137" s="1610"/>
      <c r="D137" s="1595"/>
      <c r="E137" s="1595"/>
      <c r="F137" s="408"/>
      <c r="G137" s="408"/>
    </row>
    <row r="138" spans="1:7" ht="39" hidden="1" customHeight="1" x14ac:dyDescent="0.2">
      <c r="A138" s="869"/>
      <c r="B138" s="868"/>
      <c r="C138" s="1610"/>
      <c r="D138" s="1595"/>
      <c r="E138" s="1595"/>
      <c r="F138" s="408"/>
      <c r="G138" s="408"/>
    </row>
    <row r="139" spans="1:7" ht="39" hidden="1" customHeight="1" x14ac:dyDescent="0.2">
      <c r="A139" s="869"/>
      <c r="B139" s="868"/>
      <c r="C139" s="1610"/>
      <c r="D139" s="1595"/>
      <c r="E139" s="1595"/>
      <c r="F139" s="408"/>
      <c r="G139" s="408"/>
    </row>
    <row r="140" spans="1:7" ht="39" hidden="1" customHeight="1" x14ac:dyDescent="0.2">
      <c r="A140" s="869"/>
      <c r="B140" s="868"/>
      <c r="C140" s="1610"/>
      <c r="D140" s="1595"/>
      <c r="E140" s="1595"/>
      <c r="F140" s="408"/>
      <c r="G140" s="408"/>
    </row>
    <row r="141" spans="1:7" ht="39" hidden="1" customHeight="1" x14ac:dyDescent="0.2">
      <c r="A141" s="869"/>
      <c r="B141" s="868"/>
      <c r="C141" s="1610"/>
      <c r="D141" s="1595"/>
      <c r="E141" s="1595"/>
      <c r="F141" s="408"/>
      <c r="G141" s="408"/>
    </row>
    <row r="142" spans="1:7" ht="39" hidden="1" customHeight="1" x14ac:dyDescent="0.2">
      <c r="A142" s="869"/>
      <c r="B142" s="868"/>
      <c r="C142" s="1610"/>
      <c r="D142" s="1595"/>
      <c r="E142" s="1595"/>
      <c r="F142" s="408"/>
      <c r="G142" s="408"/>
    </row>
    <row r="143" spans="1:7" ht="39" hidden="1" customHeight="1" x14ac:dyDescent="0.2">
      <c r="A143" s="869"/>
      <c r="B143" s="868"/>
      <c r="C143" s="1610"/>
      <c r="D143" s="1595"/>
      <c r="E143" s="1595"/>
      <c r="F143" s="408"/>
      <c r="G143" s="408"/>
    </row>
    <row r="144" spans="1:7" ht="39" hidden="1" thickBot="1" x14ac:dyDescent="0.25">
      <c r="A144" s="977" t="s">
        <v>936</v>
      </c>
      <c r="B144" s="301">
        <f>IF(SUM(B134:B143)=SUM('Combining FST'!Q102),SUM(B134:B143),"ERROR")</f>
        <v>0</v>
      </c>
      <c r="C144" s="295" t="s">
        <v>107</v>
      </c>
    </row>
    <row r="145" spans="1:7" ht="13.5" hidden="1" thickTop="1" x14ac:dyDescent="0.2">
      <c r="A145" s="457" t="s">
        <v>311</v>
      </c>
      <c r="B145" s="458">
        <f>SUM(B134:B143)</f>
        <v>0</v>
      </c>
    </row>
    <row r="146" spans="1:7" hidden="1" x14ac:dyDescent="0.2">
      <c r="A146" s="457" t="s">
        <v>106</v>
      </c>
      <c r="B146" s="458">
        <f>SUM('Combining FST'!Q102)-'TAB F5,  LT Liabilities'!B145</f>
        <v>0</v>
      </c>
    </row>
    <row r="147" spans="1:7" ht="52.5" hidden="1" customHeight="1" x14ac:dyDescent="0.2">
      <c r="A147" s="1590" t="s">
        <v>937</v>
      </c>
      <c r="B147" s="1166"/>
      <c r="C147" s="1166"/>
      <c r="D147" s="1166"/>
      <c r="E147" s="1166"/>
      <c r="F147" s="1167"/>
    </row>
    <row r="150" spans="1:7" x14ac:dyDescent="0.2">
      <c r="A150" s="296" t="s">
        <v>1396</v>
      </c>
    </row>
    <row r="152" spans="1:7" ht="38.25" x14ac:dyDescent="0.2">
      <c r="A152" s="229" t="s">
        <v>712</v>
      </c>
      <c r="B152" s="408" t="s">
        <v>988</v>
      </c>
      <c r="C152" s="1594" t="s">
        <v>681</v>
      </c>
      <c r="D152" s="1594"/>
      <c r="E152" s="1594"/>
      <c r="F152" s="1586"/>
      <c r="G152" s="1586"/>
    </row>
    <row r="153" spans="1:7" ht="39" customHeight="1" x14ac:dyDescent="0.2">
      <c r="A153" s="974"/>
      <c r="B153" s="315"/>
      <c r="C153" s="1603"/>
      <c r="D153" s="1611"/>
      <c r="E153" s="1611"/>
      <c r="F153" s="408"/>
      <c r="G153" s="408"/>
    </row>
    <row r="154" spans="1:7" ht="39" customHeight="1" x14ac:dyDescent="0.2">
      <c r="A154" s="974"/>
      <c r="B154" s="315"/>
      <c r="C154" s="1591"/>
      <c r="D154" s="1592"/>
      <c r="E154" s="1593"/>
      <c r="F154" s="408"/>
      <c r="G154" s="408"/>
    </row>
    <row r="155" spans="1:7" ht="39" customHeight="1" x14ac:dyDescent="0.2">
      <c r="A155" s="974"/>
      <c r="B155" s="315"/>
      <c r="C155" s="1591"/>
      <c r="D155" s="1592"/>
      <c r="E155" s="1593"/>
      <c r="F155" s="408"/>
      <c r="G155" s="408"/>
    </row>
    <row r="156" spans="1:7" ht="39" customHeight="1" x14ac:dyDescent="0.2">
      <c r="A156" s="974"/>
      <c r="B156" s="315"/>
      <c r="C156" s="1591"/>
      <c r="D156" s="1592"/>
      <c r="E156" s="1593"/>
      <c r="F156" s="408"/>
      <c r="G156" s="408"/>
    </row>
    <row r="157" spans="1:7" ht="39" customHeight="1" x14ac:dyDescent="0.2">
      <c r="A157" s="974"/>
      <c r="B157" s="315"/>
      <c r="C157" s="1591"/>
      <c r="D157" s="1592"/>
      <c r="E157" s="1593"/>
      <c r="F157" s="408"/>
      <c r="G157" s="408"/>
    </row>
    <row r="158" spans="1:7" ht="39" customHeight="1" x14ac:dyDescent="0.2">
      <c r="A158" s="974"/>
      <c r="B158" s="315"/>
      <c r="C158" s="1591"/>
      <c r="D158" s="1592"/>
      <c r="E158" s="1593"/>
      <c r="F158" s="408"/>
      <c r="G158" s="408"/>
    </row>
    <row r="159" spans="1:7" ht="39" customHeight="1" x14ac:dyDescent="0.2">
      <c r="A159" s="974"/>
      <c r="B159" s="315"/>
      <c r="C159" s="1591"/>
      <c r="D159" s="1592"/>
      <c r="E159" s="1593"/>
      <c r="F159" s="408"/>
      <c r="G159" s="408"/>
    </row>
    <row r="160" spans="1:7" ht="39" customHeight="1" x14ac:dyDescent="0.2">
      <c r="A160" s="974"/>
      <c r="B160" s="315"/>
      <c r="C160" s="1591"/>
      <c r="D160" s="1592"/>
      <c r="E160" s="1593"/>
      <c r="F160" s="408"/>
      <c r="G160" s="408"/>
    </row>
    <row r="161" spans="1:9" ht="39" customHeight="1" x14ac:dyDescent="0.2">
      <c r="A161" s="974"/>
      <c r="B161" s="315"/>
      <c r="C161" s="1591"/>
      <c r="D161" s="1592"/>
      <c r="E161" s="1593"/>
      <c r="F161" s="408"/>
      <c r="G161" s="408"/>
    </row>
    <row r="162" spans="1:9" ht="39" customHeight="1" x14ac:dyDescent="0.2">
      <c r="A162" s="974"/>
      <c r="B162" s="315"/>
      <c r="C162" s="1591"/>
      <c r="D162" s="1592"/>
      <c r="E162" s="1593"/>
      <c r="F162" s="408"/>
      <c r="G162" s="408"/>
    </row>
    <row r="163" spans="1:9" ht="13.5" thickBot="1" x14ac:dyDescent="0.25">
      <c r="A163" s="977" t="s">
        <v>315</v>
      </c>
      <c r="B163" s="301">
        <f>IF(SUM(B153:B162)=SUM('Combining FST'!Q79,'Combining FST'!Q80),SUM(B153:B162),"ERROR")</f>
        <v>0</v>
      </c>
      <c r="C163" s="295" t="s">
        <v>788</v>
      </c>
    </row>
    <row r="164" spans="1:9" ht="13.5" thickTop="1" x14ac:dyDescent="0.2">
      <c r="A164" s="457" t="s">
        <v>311</v>
      </c>
      <c r="B164" s="458">
        <f>SUM(B153:B162)</f>
        <v>0</v>
      </c>
    </row>
    <row r="165" spans="1:9" x14ac:dyDescent="0.2">
      <c r="A165" s="457" t="s">
        <v>106</v>
      </c>
      <c r="B165" s="458">
        <f>SUM('Combining FST'!Q79,'Combining FST'!Q80)-'TAB F5,  LT Liabilities'!B164</f>
        <v>0</v>
      </c>
    </row>
    <row r="166" spans="1:9" ht="63.75" customHeight="1" x14ac:dyDescent="0.2">
      <c r="A166" s="1590" t="s">
        <v>1398</v>
      </c>
      <c r="B166" s="1166"/>
      <c r="C166" s="1166"/>
      <c r="D166" s="1166"/>
      <c r="E166" s="1166"/>
      <c r="F166" s="1167"/>
    </row>
    <row r="172" spans="1:9" hidden="1" x14ac:dyDescent="0.2">
      <c r="I172" s="295" t="s">
        <v>375</v>
      </c>
    </row>
    <row r="173" spans="1:9" hidden="1" x14ac:dyDescent="0.2">
      <c r="I173" s="295" t="s">
        <v>155</v>
      </c>
    </row>
    <row r="174" spans="1:9" hidden="1" x14ac:dyDescent="0.2">
      <c r="I174" s="295" t="s">
        <v>156</v>
      </c>
    </row>
    <row r="175" spans="1:9" hidden="1" x14ac:dyDescent="0.2">
      <c r="I175" s="295" t="s">
        <v>380</v>
      </c>
    </row>
  </sheetData>
  <sheetProtection algorithmName="SHA-512" hashValue="ZmRObUiD0fJJznXxfXX46PhUeFiq4rvanIh2h+vqI3Tf8VUjpQ7HAkYEhUI5Pbm02n/HhUo+BiTnaJjqa+YUjg==" saltValue="O/vWCpuNGraDabKQu+jQ3g==" spinCount="100000" sheet="1" objects="1" scenarios="1"/>
  <mergeCells count="123">
    <mergeCell ref="D1:H1"/>
    <mergeCell ref="C156:E156"/>
    <mergeCell ref="C157:E157"/>
    <mergeCell ref="C162:E162"/>
    <mergeCell ref="A166:F166"/>
    <mergeCell ref="C158:E158"/>
    <mergeCell ref="C159:E159"/>
    <mergeCell ref="C160:E160"/>
    <mergeCell ref="C161:E161"/>
    <mergeCell ref="C141:E141"/>
    <mergeCell ref="C142:E142"/>
    <mergeCell ref="C143:E143"/>
    <mergeCell ref="A147:F147"/>
    <mergeCell ref="C152:E152"/>
    <mergeCell ref="F152:G152"/>
    <mergeCell ref="C153:E153"/>
    <mergeCell ref="C154:E154"/>
    <mergeCell ref="C155:E155"/>
    <mergeCell ref="C133:E133"/>
    <mergeCell ref="F133:G133"/>
    <mergeCell ref="C134:E134"/>
    <mergeCell ref="C135:E135"/>
    <mergeCell ref="C136:E136"/>
    <mergeCell ref="C137:E137"/>
    <mergeCell ref="C138:E138"/>
    <mergeCell ref="C139:E139"/>
    <mergeCell ref="C140:E140"/>
    <mergeCell ref="A44:C44"/>
    <mergeCell ref="E44:H44"/>
    <mergeCell ref="A45:C45"/>
    <mergeCell ref="E45:H45"/>
    <mergeCell ref="A46:C46"/>
    <mergeCell ref="A16:C16"/>
    <mergeCell ref="A18:C18"/>
    <mergeCell ref="E19:H19"/>
    <mergeCell ref="E20:H20"/>
    <mergeCell ref="E21:H21"/>
    <mergeCell ref="E22:H22"/>
    <mergeCell ref="E23:H23"/>
    <mergeCell ref="E24:H24"/>
    <mergeCell ref="A27:C27"/>
    <mergeCell ref="A23:C23"/>
    <mergeCell ref="A24:C24"/>
    <mergeCell ref="A25:C25"/>
    <mergeCell ref="A26:C26"/>
    <mergeCell ref="A19:C19"/>
    <mergeCell ref="A20:C20"/>
    <mergeCell ref="A21:C21"/>
    <mergeCell ref="D2:H2"/>
    <mergeCell ref="D3:H3"/>
    <mergeCell ref="A11:F11"/>
    <mergeCell ref="A10:K10"/>
    <mergeCell ref="D4:H4"/>
    <mergeCell ref="D5:H5"/>
    <mergeCell ref="D6:H6"/>
    <mergeCell ref="E16:H16"/>
    <mergeCell ref="E18:H18"/>
    <mergeCell ref="A12:I12"/>
    <mergeCell ref="A22:C22"/>
    <mergeCell ref="E32:H32"/>
    <mergeCell ref="E41:H41"/>
    <mergeCell ref="A42:C42"/>
    <mergeCell ref="E42:H42"/>
    <mergeCell ref="A43:C43"/>
    <mergeCell ref="E29:H29"/>
    <mergeCell ref="E30:H30"/>
    <mergeCell ref="E31:H31"/>
    <mergeCell ref="E25:H25"/>
    <mergeCell ref="E26:H26"/>
    <mergeCell ref="E27:H27"/>
    <mergeCell ref="E28:H28"/>
    <mergeCell ref="A31:C31"/>
    <mergeCell ref="A32:C32"/>
    <mergeCell ref="A28:C28"/>
    <mergeCell ref="A29:C29"/>
    <mergeCell ref="A30:C30"/>
    <mergeCell ref="A36:F36"/>
    <mergeCell ref="A41:C41"/>
    <mergeCell ref="A39:C39"/>
    <mergeCell ref="E39:H39"/>
    <mergeCell ref="E43:H43"/>
    <mergeCell ref="A49:C49"/>
    <mergeCell ref="E49:H49"/>
    <mergeCell ref="A50:C50"/>
    <mergeCell ref="E50:H50"/>
    <mergeCell ref="E46:H46"/>
    <mergeCell ref="A47:C47"/>
    <mergeCell ref="E47:H47"/>
    <mergeCell ref="A48:C48"/>
    <mergeCell ref="E48:H48"/>
    <mergeCell ref="A53:C53"/>
    <mergeCell ref="E53:H53"/>
    <mergeCell ref="A54:C54"/>
    <mergeCell ref="E54:H54"/>
    <mergeCell ref="G74:H74"/>
    <mergeCell ref="A51:C51"/>
    <mergeCell ref="E51:H51"/>
    <mergeCell ref="A52:C52"/>
    <mergeCell ref="E52:H52"/>
    <mergeCell ref="A59:F59"/>
    <mergeCell ref="A55:C55"/>
    <mergeCell ref="E55:H55"/>
    <mergeCell ref="A63:H63"/>
    <mergeCell ref="A64:I64"/>
    <mergeCell ref="A66:H66"/>
    <mergeCell ref="A67:I67"/>
    <mergeCell ref="A69:H69"/>
    <mergeCell ref="G96:H96"/>
    <mergeCell ref="A86:F86"/>
    <mergeCell ref="A128:F128"/>
    <mergeCell ref="C122:E122"/>
    <mergeCell ref="C123:E123"/>
    <mergeCell ref="C124:E124"/>
    <mergeCell ref="C117:E117"/>
    <mergeCell ref="C118:E118"/>
    <mergeCell ref="C119:E119"/>
    <mergeCell ref="C120:E120"/>
    <mergeCell ref="C121:E121"/>
    <mergeCell ref="C114:E114"/>
    <mergeCell ref="F114:G114"/>
    <mergeCell ref="A109:F109"/>
    <mergeCell ref="C115:E115"/>
    <mergeCell ref="C116:E116"/>
  </mergeCells>
  <phoneticPr fontId="12" type="noConversion"/>
  <conditionalFormatting sqref="A1:XFD1048576">
    <cfRule type="cellIs" dxfId="32" priority="1" operator="equal">
      <formula>"Answer Required"</formula>
    </cfRule>
  </conditionalFormatting>
  <dataValidations count="5">
    <dataValidation type="whole" allowBlank="1" showInputMessage="1" showErrorMessage="1" error="Enter whole number." sqref="D41:D55 B75:B82 B115:B124 B97:B105 D18:D32 B134:B143 B153:B162" xr:uid="{00000000-0002-0000-1600-000000000000}">
      <formula1>-1000000000000000000</formula1>
      <formula2>1000000000000000000</formula2>
    </dataValidation>
    <dataValidation allowBlank="1" showInputMessage="1" showErrorMessage="1" error="Enter whole number." sqref="A41:C55 A18:C32" xr:uid="{00000000-0002-0000-1600-000001000000}"/>
    <dataValidation type="list" allowBlank="1" showInputMessage="1" showErrorMessage="1" error="Enter yes, no or n/a_x000a_" sqref="I63 I66 I69" xr:uid="{00000000-0002-0000-1600-000002000000}">
      <formula1>$I$173:$I$175</formula1>
    </dataValidation>
    <dataValidation type="whole" allowBlank="1" showInputMessage="1" showErrorMessage="1" error="Enter a 3-digit agency control number." sqref="D1:H1" xr:uid="{00000000-0002-0000-1600-000003000000}">
      <formula1>100</formula1>
      <formula2>999</formula2>
    </dataValidation>
    <dataValidation type="list" allowBlank="1" showInputMessage="1" showErrorMessage="1" error="Enter yes or no" sqref="C75:C82 C97:C105" xr:uid="{00000000-0002-0000-1600-000004000000}">
      <formula1>$I$173:$I$174</formula1>
    </dataValidation>
  </dataValidations>
  <pageMargins left="0.7" right="0.7" top="1" bottom="0.75" header="0.3" footer="0.3"/>
  <pageSetup scale="59" fitToHeight="0" orientation="landscape" cellComments="asDisplayed" r:id="rId1"/>
  <headerFooter alignWithMargins="0">
    <oddHeader xml:space="preserve">&amp;C&amp;"Arial,Bold"Attachment HE-10
Financial Statement Template
&amp;A
</oddHeader>
    <oddFooter>&amp;L&amp;"Arial,Regular"&amp;F \ &amp;A&amp;R&amp;"Arial,Regular"Page &amp;P</oddFooter>
  </headerFooter>
  <rowBreaks count="4" manualBreakCount="4">
    <brk id="36" max="16383" man="1"/>
    <brk id="61" max="16383" man="1"/>
    <brk id="111" max="16383" man="1"/>
    <brk id="130" max="16383"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119"/>
  <sheetViews>
    <sheetView showGridLines="0" zoomScale="90" zoomScaleNormal="90" zoomScaleSheetLayoutView="75" workbookViewId="0">
      <pane ySplit="16" topLeftCell="A17" activePane="bottomLeft" state="frozen"/>
      <selection activeCell="L9" sqref="L9:Q16"/>
      <selection pane="bottomLeft"/>
    </sheetView>
  </sheetViews>
  <sheetFormatPr defaultColWidth="10.6640625" defaultRowHeight="14.1" customHeight="1" x14ac:dyDescent="0.2"/>
  <cols>
    <col min="1" max="2" width="23.5" style="58" customWidth="1"/>
    <col min="3" max="10" width="17.83203125" style="58" customWidth="1"/>
    <col min="11" max="14" width="16.83203125" style="58" customWidth="1"/>
    <col min="15" max="15" width="5.5" style="58" customWidth="1"/>
    <col min="16" max="18" width="16.83203125" style="58" customWidth="1"/>
    <col min="19" max="16384" width="10.6640625" style="58"/>
  </cols>
  <sheetData>
    <row r="1" spans="1:22" ht="14.1" customHeight="1" x14ac:dyDescent="0.2">
      <c r="A1" s="824" t="s">
        <v>1155</v>
      </c>
      <c r="C1" s="1546">
        <f>FST!E1</f>
        <v>0</v>
      </c>
      <c r="D1" s="1615"/>
      <c r="E1" s="1615"/>
      <c r="F1" s="1615"/>
    </row>
    <row r="2" spans="1:22" s="33" customFormat="1" ht="39" customHeight="1" x14ac:dyDescent="0.2">
      <c r="A2" s="824" t="s">
        <v>770</v>
      </c>
      <c r="B2" s="31"/>
      <c r="C2" s="1546" t="str">
        <f>FST!E2</f>
        <v/>
      </c>
      <c r="D2" s="1615"/>
      <c r="E2" s="1615"/>
      <c r="F2" s="1615"/>
      <c r="G2" s="295"/>
      <c r="H2" s="285"/>
      <c r="I2" s="285"/>
      <c r="J2" s="285"/>
    </row>
    <row r="3" spans="1:22" s="33" customFormat="1" ht="12.75" x14ac:dyDescent="0.2">
      <c r="A3" s="824" t="s">
        <v>771</v>
      </c>
      <c r="B3" s="220"/>
      <c r="C3" s="1556">
        <f>FST!E3</f>
        <v>0</v>
      </c>
      <c r="D3" s="1617"/>
      <c r="E3" s="1617"/>
      <c r="F3" s="1617"/>
      <c r="G3" s="295"/>
      <c r="H3" s="285"/>
      <c r="I3" s="285"/>
      <c r="J3" s="285"/>
    </row>
    <row r="4" spans="1:22" s="33" customFormat="1" ht="12.75" x14ac:dyDescent="0.2">
      <c r="A4" s="824" t="s">
        <v>773</v>
      </c>
      <c r="B4" s="220"/>
      <c r="C4" s="1558">
        <f>FST!E4</f>
        <v>0</v>
      </c>
      <c r="D4" s="1618"/>
      <c r="E4" s="1618"/>
      <c r="F4" s="1618"/>
      <c r="G4" s="295"/>
      <c r="H4" s="285"/>
      <c r="I4" s="285"/>
      <c r="J4" s="285"/>
    </row>
    <row r="5" spans="1:22" s="33" customFormat="1" ht="12.75" x14ac:dyDescent="0.2">
      <c r="A5" s="825" t="s">
        <v>774</v>
      </c>
      <c r="B5" s="220"/>
      <c r="C5" s="1556">
        <f>FST!E5</f>
        <v>0</v>
      </c>
      <c r="D5" s="1617"/>
      <c r="E5" s="1617"/>
      <c r="F5" s="1617"/>
      <c r="G5" s="295"/>
      <c r="H5" s="285"/>
      <c r="I5" s="285"/>
      <c r="J5" s="285"/>
    </row>
    <row r="6" spans="1:22" s="33" customFormat="1" ht="12.75" x14ac:dyDescent="0.2">
      <c r="A6" s="826" t="s">
        <v>775</v>
      </c>
      <c r="B6" s="220"/>
      <c r="C6" s="1553">
        <f>FST!E6</f>
        <v>0</v>
      </c>
      <c r="D6" s="1619"/>
      <c r="E6" s="1619"/>
      <c r="F6" s="1619"/>
      <c r="G6" s="295"/>
      <c r="H6" s="286"/>
      <c r="I6" s="286"/>
      <c r="J6" s="286"/>
    </row>
    <row r="7" spans="1:22" s="33" customFormat="1" ht="12" x14ac:dyDescent="0.2">
      <c r="A7" s="67" t="s">
        <v>584</v>
      </c>
      <c r="B7" s="34"/>
    </row>
    <row r="8" spans="1:22" s="33" customFormat="1" ht="12" x14ac:dyDescent="0.2">
      <c r="A8" s="827"/>
      <c r="B8" s="34"/>
    </row>
    <row r="9" spans="1:22" s="33" customFormat="1" ht="12" x14ac:dyDescent="0.2">
      <c r="A9" s="827"/>
      <c r="B9" s="34"/>
    </row>
    <row r="10" spans="1:22" s="33" customFormat="1" ht="12.75" x14ac:dyDescent="0.2">
      <c r="A10" s="1263" t="s">
        <v>53</v>
      </c>
      <c r="B10" s="1620"/>
      <c r="C10" s="1620"/>
      <c r="D10" s="1620"/>
      <c r="E10" s="1620"/>
      <c r="F10" s="1620"/>
      <c r="G10" s="976"/>
      <c r="H10" s="976"/>
      <c r="I10" s="976"/>
      <c r="J10" s="976"/>
      <c r="K10" s="976"/>
    </row>
    <row r="11" spans="1:22" s="33" customFormat="1" ht="24.75" customHeight="1" x14ac:dyDescent="0.2">
      <c r="A11" s="1271" t="s">
        <v>1358</v>
      </c>
      <c r="B11" s="1604"/>
      <c r="C11" s="1604"/>
      <c r="D11" s="1604"/>
      <c r="E11" s="1604"/>
      <c r="F11" s="1604"/>
    </row>
    <row r="12" spans="1:22" s="33" customFormat="1" ht="12" x14ac:dyDescent="0.2">
      <c r="A12" s="36"/>
      <c r="B12" s="35"/>
      <c r="C12" s="36"/>
      <c r="D12" s="36"/>
      <c r="E12" s="36"/>
      <c r="F12" s="36"/>
      <c r="G12" s="36"/>
      <c r="H12" s="36"/>
      <c r="I12" s="36"/>
      <c r="J12" s="36"/>
      <c r="K12" s="36"/>
      <c r="L12" s="36"/>
      <c r="M12" s="36"/>
      <c r="N12" s="36"/>
    </row>
    <row r="13" spans="1:22" ht="14.1" customHeight="1" x14ac:dyDescent="0.2">
      <c r="A13" s="829" t="s">
        <v>557</v>
      </c>
    </row>
    <row r="14" spans="1:22" ht="13.5" customHeight="1" x14ac:dyDescent="0.2">
      <c r="B14" s="224"/>
      <c r="C14" s="224"/>
      <c r="D14" s="224"/>
      <c r="E14" s="224"/>
      <c r="F14" s="224"/>
      <c r="G14" s="224"/>
    </row>
    <row r="15" spans="1:22" ht="114" customHeight="1" x14ac:dyDescent="0.2">
      <c r="A15" s="58" t="s">
        <v>54</v>
      </c>
      <c r="B15" s="224"/>
      <c r="C15" s="313">
        <f>'Combining FST'!G19</f>
        <v>0</v>
      </c>
      <c r="D15" s="313">
        <f>'Combining FST'!H19</f>
        <v>0</v>
      </c>
      <c r="E15" s="313">
        <f>'Combining FST'!I19</f>
        <v>0</v>
      </c>
      <c r="F15" s="313">
        <f>'Combining FST'!J19</f>
        <v>0</v>
      </c>
      <c r="G15" s="313">
        <f>'Combining FST'!K19</f>
        <v>0</v>
      </c>
      <c r="H15" s="313">
        <f>'Combining FST'!L19</f>
        <v>0</v>
      </c>
      <c r="I15" s="313">
        <f>'Combining FST'!M19</f>
        <v>0</v>
      </c>
      <c r="J15" s="313">
        <f>'Combining FST'!N19</f>
        <v>0</v>
      </c>
      <c r="K15" s="362" t="s">
        <v>364</v>
      </c>
      <c r="L15" s="967" t="s">
        <v>610</v>
      </c>
      <c r="M15" s="967" t="s">
        <v>312</v>
      </c>
      <c r="N15" s="967" t="s">
        <v>544</v>
      </c>
      <c r="T15" s="992"/>
      <c r="U15" s="996"/>
      <c r="V15" s="996"/>
    </row>
    <row r="16" spans="1:22" ht="12.75" x14ac:dyDescent="0.2">
      <c r="A16" s="828" t="s">
        <v>184</v>
      </c>
      <c r="B16" s="224"/>
      <c r="C16" s="537">
        <f>'Combining FST'!G20</f>
        <v>0</v>
      </c>
      <c r="D16" s="537">
        <f>'Combining FST'!H20</f>
        <v>0</v>
      </c>
      <c r="E16" s="537">
        <f>'Combining FST'!I20</f>
        <v>0</v>
      </c>
      <c r="F16" s="537">
        <f>'Combining FST'!J20</f>
        <v>0</v>
      </c>
      <c r="G16" s="537">
        <f>'Combining FST'!K20</f>
        <v>0</v>
      </c>
      <c r="H16" s="537">
        <f>'Combining FST'!L20</f>
        <v>0</v>
      </c>
      <c r="I16" s="537">
        <f>'Combining FST'!M20</f>
        <v>0</v>
      </c>
      <c r="J16" s="537">
        <f>'Combining FST'!N20</f>
        <v>0</v>
      </c>
    </row>
    <row r="17" spans="1:18" ht="12.75" x14ac:dyDescent="0.2">
      <c r="B17" s="224"/>
      <c r="C17" s="344"/>
      <c r="D17" s="344"/>
      <c r="E17" s="344"/>
      <c r="F17" s="344"/>
      <c r="G17" s="344"/>
      <c r="H17" s="344"/>
      <c r="I17" s="344"/>
      <c r="J17" s="344"/>
    </row>
    <row r="18" spans="1:18" ht="13.5" customHeight="1" x14ac:dyDescent="0.2">
      <c r="A18" s="1616" t="s">
        <v>989</v>
      </c>
      <c r="B18" s="1195"/>
      <c r="C18" s="226"/>
      <c r="D18" s="226"/>
      <c r="E18" s="226"/>
      <c r="F18" s="226"/>
      <c r="G18" s="226"/>
      <c r="H18" s="238"/>
      <c r="I18" s="238"/>
      <c r="J18" s="238"/>
      <c r="P18" s="1612" t="s">
        <v>1411</v>
      </c>
      <c r="Q18" s="1612"/>
      <c r="R18" s="1612"/>
    </row>
    <row r="19" spans="1:18" ht="63.75" x14ac:dyDescent="0.2">
      <c r="A19" s="648" t="s">
        <v>1815</v>
      </c>
      <c r="B19" s="648" t="s">
        <v>1816</v>
      </c>
      <c r="K19" s="59"/>
      <c r="P19" s="993" t="s">
        <v>364</v>
      </c>
      <c r="Q19" s="994" t="s">
        <v>610</v>
      </c>
      <c r="R19" s="994" t="s">
        <v>312</v>
      </c>
    </row>
    <row r="20" spans="1:18" ht="12.75" x14ac:dyDescent="0.2">
      <c r="A20" s="889">
        <v>2024</v>
      </c>
      <c r="B20" s="889">
        <v>2025</v>
      </c>
      <c r="C20" s="368"/>
      <c r="D20" s="368"/>
      <c r="E20" s="368"/>
      <c r="F20" s="368"/>
      <c r="G20" s="368"/>
      <c r="H20" s="368"/>
      <c r="I20" s="368"/>
      <c r="J20" s="368"/>
      <c r="K20" s="231">
        <f>SUM(C20:J20)</f>
        <v>0</v>
      </c>
      <c r="L20" s="63"/>
      <c r="M20" s="63"/>
      <c r="N20" s="231">
        <f t="shared" ref="N20:N25" si="0">SUM(K20:M20)</f>
        <v>0</v>
      </c>
      <c r="P20" s="996">
        <f>'Combining FST'!O86-'TAB F5.1, LT Liabilities'!K20</f>
        <v>0</v>
      </c>
      <c r="Q20" s="996">
        <f>'Combining FST'!P86-'TAB F5.1, LT Liabilities'!L20</f>
        <v>0</v>
      </c>
      <c r="R20" s="996">
        <f>'Elimination Entries to FST'!I163-'TAB F5.1, LT Liabilities'!M20</f>
        <v>0</v>
      </c>
    </row>
    <row r="21" spans="1:18" ht="12.75" x14ac:dyDescent="0.2">
      <c r="A21" s="889">
        <v>2025</v>
      </c>
      <c r="B21" s="889">
        <v>2026</v>
      </c>
      <c r="C21" s="368"/>
      <c r="D21" s="368"/>
      <c r="E21" s="368"/>
      <c r="F21" s="368"/>
      <c r="G21" s="368"/>
      <c r="H21" s="368"/>
      <c r="I21" s="368"/>
      <c r="J21" s="368"/>
      <c r="K21" s="231">
        <f>SUM(C21:J21)</f>
        <v>0</v>
      </c>
      <c r="L21" s="63"/>
      <c r="M21" s="63"/>
      <c r="N21" s="231">
        <f t="shared" si="0"/>
        <v>0</v>
      </c>
      <c r="P21" s="645" t="s">
        <v>1407</v>
      </c>
      <c r="Q21" s="645" t="s">
        <v>1407</v>
      </c>
      <c r="R21" s="995" t="s">
        <v>1408</v>
      </c>
    </row>
    <row r="22" spans="1:18" ht="12.75" x14ac:dyDescent="0.2">
      <c r="A22" s="889">
        <v>2026</v>
      </c>
      <c r="B22" s="889">
        <v>2027</v>
      </c>
      <c r="C22" s="368"/>
      <c r="D22" s="368"/>
      <c r="E22" s="368"/>
      <c r="F22" s="368"/>
      <c r="G22" s="368"/>
      <c r="H22" s="368"/>
      <c r="I22" s="368"/>
      <c r="J22" s="368"/>
      <c r="K22" s="231">
        <f>SUM(C22:J22)</f>
        <v>0</v>
      </c>
      <c r="L22" s="63"/>
      <c r="M22" s="63"/>
      <c r="N22" s="231">
        <f t="shared" si="0"/>
        <v>0</v>
      </c>
    </row>
    <row r="23" spans="1:18" ht="12.75" x14ac:dyDescent="0.2">
      <c r="A23" s="889">
        <v>2027</v>
      </c>
      <c r="B23" s="889">
        <v>2028</v>
      </c>
      <c r="C23" s="368"/>
      <c r="D23" s="368"/>
      <c r="E23" s="368"/>
      <c r="F23" s="368"/>
      <c r="G23" s="368"/>
      <c r="H23" s="368"/>
      <c r="I23" s="368"/>
      <c r="J23" s="368"/>
      <c r="K23" s="231">
        <f t="shared" ref="K23" si="1">SUM(C23:J23)</f>
        <v>0</v>
      </c>
      <c r="L23" s="63"/>
      <c r="M23" s="63"/>
      <c r="N23" s="231">
        <f t="shared" si="0"/>
        <v>0</v>
      </c>
    </row>
    <row r="24" spans="1:18" ht="12.75" x14ac:dyDescent="0.2">
      <c r="A24" s="889">
        <v>2028</v>
      </c>
      <c r="B24" s="889">
        <v>2029</v>
      </c>
      <c r="C24" s="368"/>
      <c r="D24" s="368"/>
      <c r="E24" s="368"/>
      <c r="F24" s="368"/>
      <c r="G24" s="368"/>
      <c r="H24" s="368"/>
      <c r="I24" s="368"/>
      <c r="J24" s="368"/>
      <c r="K24" s="231">
        <f>SUM(C24:J24)</f>
        <v>0</v>
      </c>
      <c r="L24" s="63"/>
      <c r="M24" s="63"/>
      <c r="N24" s="231">
        <f t="shared" si="0"/>
        <v>0</v>
      </c>
    </row>
    <row r="25" spans="1:18" ht="12.75" x14ac:dyDescent="0.2">
      <c r="A25" s="649" t="s">
        <v>1658</v>
      </c>
      <c r="B25" s="649" t="s">
        <v>1817</v>
      </c>
      <c r="C25" s="368"/>
      <c r="D25" s="368"/>
      <c r="E25" s="368"/>
      <c r="F25" s="368"/>
      <c r="G25" s="368"/>
      <c r="H25" s="368"/>
      <c r="I25" s="368"/>
      <c r="J25" s="368"/>
      <c r="K25" s="231">
        <f>SUM(C25:J25)</f>
        <v>0</v>
      </c>
      <c r="L25" s="63"/>
      <c r="M25" s="63"/>
      <c r="N25" s="231">
        <f t="shared" si="0"/>
        <v>0</v>
      </c>
    </row>
    <row r="26" spans="1:18" ht="13.5" thickBot="1" x14ac:dyDescent="0.25">
      <c r="B26" s="227" t="s">
        <v>27</v>
      </c>
      <c r="C26" s="232">
        <f>IF(SUM(C20:C25)='Combining FST'!G86+'Combining FST'!G97,SUM(C20:C25),"ERROR")</f>
        <v>0</v>
      </c>
      <c r="D26" s="232">
        <f>IF(SUM(D20:D25)='Combining FST'!H86+'Combining FST'!H97,SUM(D20:D25),"ERROR")</f>
        <v>0</v>
      </c>
      <c r="E26" s="232">
        <f>IF(SUM(E20:E25)='Combining FST'!I86+'Combining FST'!I97,SUM(E20:E25),"ERROR")</f>
        <v>0</v>
      </c>
      <c r="F26" s="232">
        <f>IF(SUM(F20:F25)='Combining FST'!J86+'Combining FST'!J97,SUM(F20:F25),"ERROR")</f>
        <v>0</v>
      </c>
      <c r="G26" s="232">
        <f>IF(SUM(G20:G25)='Combining FST'!K86+'Combining FST'!K97,SUM(G20:G25),"ERROR")</f>
        <v>0</v>
      </c>
      <c r="H26" s="232">
        <f>IF(SUM(H20:H25)='Combining FST'!L86+'Combining FST'!L97,SUM(H20:H25),"ERROR")</f>
        <v>0</v>
      </c>
      <c r="I26" s="232">
        <f>IF(SUM(I20:I25)='Combining FST'!M86+'Combining FST'!M97,SUM(I20:I25),"ERROR")</f>
        <v>0</v>
      </c>
      <c r="J26" s="232">
        <f>IF(SUM(J20:J25)='Combining FST'!N86+'Combining FST'!N97,SUM(J20:J25),"ERROR")</f>
        <v>0</v>
      </c>
      <c r="K26" s="232">
        <f>IF(SUM(K20:K25)='Combining FST'!O86+'Combining FST'!O97,SUM(K20:K25),"ERROR")</f>
        <v>0</v>
      </c>
      <c r="L26" s="232">
        <f>IF(SUM(L20:L25)='Combining FST'!P86+'Combining FST'!P97,SUM(L20:L25),"ERROR")</f>
        <v>0</v>
      </c>
      <c r="M26" s="232">
        <f>IF(SUM(M20:M25)='Elimination Entries to FST'!I163+'Elimination Entries to FST'!I179,SUM(M20:M25),"ERROR")</f>
        <v>0</v>
      </c>
      <c r="N26" s="232">
        <f>IF(SUM(N20:N25)=SUM(FST!H162+FST!H178+'Elimination Entries to FST'!I163,'Elimination Entries to FST'!I179),SUM(N20:N25),"ERROR")</f>
        <v>0</v>
      </c>
    </row>
    <row r="27" spans="1:18" ht="14.1" customHeight="1" thickTop="1" x14ac:dyDescent="0.2">
      <c r="C27" s="369" t="s">
        <v>636</v>
      </c>
      <c r="D27" s="369" t="s">
        <v>636</v>
      </c>
      <c r="E27" s="369" t="s">
        <v>636</v>
      </c>
      <c r="F27" s="369" t="s">
        <v>636</v>
      </c>
      <c r="G27" s="369" t="s">
        <v>636</v>
      </c>
      <c r="H27" s="369" t="s">
        <v>636</v>
      </c>
      <c r="I27" s="369" t="s">
        <v>636</v>
      </c>
      <c r="J27" s="369" t="s">
        <v>636</v>
      </c>
      <c r="K27" s="369" t="s">
        <v>636</v>
      </c>
      <c r="L27" s="369" t="s">
        <v>636</v>
      </c>
      <c r="M27" s="227" t="s">
        <v>637</v>
      </c>
      <c r="N27" s="227" t="s">
        <v>220</v>
      </c>
    </row>
    <row r="28" spans="1:18" ht="14.1" customHeight="1" x14ac:dyDescent="0.2">
      <c r="B28" s="451" t="s">
        <v>821</v>
      </c>
      <c r="C28" s="454">
        <f>SUM(C20:C25)</f>
        <v>0</v>
      </c>
      <c r="D28" s="454">
        <f t="shared" ref="D28:M28" si="2">SUM(D20:D25)</f>
        <v>0</v>
      </c>
      <c r="E28" s="454">
        <f t="shared" si="2"/>
        <v>0</v>
      </c>
      <c r="F28" s="454">
        <f t="shared" si="2"/>
        <v>0</v>
      </c>
      <c r="G28" s="454">
        <f t="shared" si="2"/>
        <v>0</v>
      </c>
      <c r="H28" s="454">
        <f t="shared" si="2"/>
        <v>0</v>
      </c>
      <c r="I28" s="454">
        <f t="shared" si="2"/>
        <v>0</v>
      </c>
      <c r="J28" s="454">
        <f t="shared" si="2"/>
        <v>0</v>
      </c>
      <c r="K28" s="454">
        <f>SUM(K20:K25)</f>
        <v>0</v>
      </c>
      <c r="L28" s="454">
        <f>SUM(L20:L25)</f>
        <v>0</v>
      </c>
      <c r="M28" s="454">
        <f t="shared" si="2"/>
        <v>0</v>
      </c>
      <c r="N28" s="454">
        <f>SUM(N20:N25)</f>
        <v>0</v>
      </c>
    </row>
    <row r="29" spans="1:18" ht="14.1" customHeight="1" x14ac:dyDescent="0.2">
      <c r="B29" s="451" t="s">
        <v>410</v>
      </c>
      <c r="C29" s="454">
        <f>SUM('Combining FST'!G86,'Combining FST'!G97)-C28</f>
        <v>0</v>
      </c>
      <c r="D29" s="454">
        <f>SUM('Combining FST'!H86,'Combining FST'!H97)-D28</f>
        <v>0</v>
      </c>
      <c r="E29" s="454">
        <f>SUM('Combining FST'!I86,'Combining FST'!I97)-E28</f>
        <v>0</v>
      </c>
      <c r="F29" s="454">
        <f>SUM('Combining FST'!J86,'Combining FST'!J97)-F28</f>
        <v>0</v>
      </c>
      <c r="G29" s="454">
        <f>SUM('Combining FST'!K86,'Combining FST'!K97)-G28</f>
        <v>0</v>
      </c>
      <c r="H29" s="454">
        <f>SUM('Combining FST'!L86,'Combining FST'!L97)-H28</f>
        <v>0</v>
      </c>
      <c r="I29" s="454">
        <f>SUM('Combining FST'!M86,'Combining FST'!M97)-I28</f>
        <v>0</v>
      </c>
      <c r="J29" s="454">
        <f>SUM('Combining FST'!N86,'Combining FST'!N97)-J28</f>
        <v>0</v>
      </c>
      <c r="K29" s="454">
        <f>SUM('Combining FST'!O86,'Combining FST'!O97)-K28</f>
        <v>0</v>
      </c>
      <c r="L29" s="454">
        <f>SUM('Combining FST'!P86,'Combining FST'!P97)-L28</f>
        <v>0</v>
      </c>
      <c r="M29" s="454">
        <f>SUM('Elimination Entries to FST'!I163,'Elimination Entries to FST'!I179)-'TAB F5.1, LT Liabilities'!M28</f>
        <v>0</v>
      </c>
      <c r="N29" s="454">
        <f>SUM(FST!H162,FST!H178,'Elimination Entries to FST'!I163,'Elimination Entries to FST'!I179)-'TAB F5.1, LT Liabilities'!N28</f>
        <v>0</v>
      </c>
    </row>
    <row r="30" spans="1:18" ht="46.5" customHeight="1" x14ac:dyDescent="0.2">
      <c r="A30" s="1551" t="s">
        <v>365</v>
      </c>
      <c r="B30" s="1613"/>
      <c r="C30" s="1613"/>
      <c r="D30" s="1613"/>
      <c r="E30" s="1613"/>
      <c r="F30" s="1614"/>
    </row>
    <row r="31" spans="1:18" ht="51.75" customHeight="1" x14ac:dyDescent="0.2">
      <c r="A31" s="1551" t="s">
        <v>23</v>
      </c>
      <c r="B31" s="1166"/>
      <c r="C31" s="1166"/>
      <c r="D31" s="1166"/>
      <c r="E31" s="1166"/>
      <c r="F31" s="1167"/>
    </row>
    <row r="32" spans="1:18" ht="54.75" customHeight="1" x14ac:dyDescent="0.2">
      <c r="A32" s="1552" t="s">
        <v>279</v>
      </c>
      <c r="B32" s="1552"/>
      <c r="C32" s="1552"/>
      <c r="D32" s="1552"/>
      <c r="E32" s="1552"/>
      <c r="F32" s="1552"/>
    </row>
    <row r="33" spans="1:18" ht="16.5" customHeight="1" x14ac:dyDescent="0.2">
      <c r="A33" s="238"/>
      <c r="B33" s="238"/>
      <c r="C33" s="238"/>
      <c r="D33" s="238"/>
      <c r="E33" s="238"/>
      <c r="F33" s="238"/>
    </row>
    <row r="37" spans="1:18" ht="14.1" customHeight="1" x14ac:dyDescent="0.2">
      <c r="A37" s="829" t="s">
        <v>558</v>
      </c>
    </row>
    <row r="38" spans="1:18" ht="14.1" customHeight="1" x14ac:dyDescent="0.2">
      <c r="A38" s="829"/>
    </row>
    <row r="39" spans="1:18" ht="13.5" customHeight="1" x14ac:dyDescent="0.2">
      <c r="A39" s="1616" t="s">
        <v>989</v>
      </c>
      <c r="B39" s="1195"/>
      <c r="C39" s="224"/>
      <c r="D39" s="224"/>
      <c r="E39" s="224"/>
      <c r="F39" s="224"/>
      <c r="G39" s="224"/>
      <c r="P39" s="1612" t="s">
        <v>1411</v>
      </c>
      <c r="Q39" s="1612"/>
      <c r="R39" s="1612"/>
    </row>
    <row r="40" spans="1:18" ht="63.75" x14ac:dyDescent="0.2">
      <c r="A40" s="648" t="s">
        <v>1815</v>
      </c>
      <c r="B40" s="648" t="s">
        <v>1816</v>
      </c>
      <c r="K40" s="59"/>
      <c r="P40" s="993" t="s">
        <v>364</v>
      </c>
      <c r="Q40" s="994" t="s">
        <v>610</v>
      </c>
      <c r="R40" s="994" t="s">
        <v>312</v>
      </c>
    </row>
    <row r="41" spans="1:18" ht="12.75" x14ac:dyDescent="0.2">
      <c r="A41" s="889">
        <v>2024</v>
      </c>
      <c r="B41" s="889">
        <v>2025</v>
      </c>
      <c r="C41" s="63"/>
      <c r="D41" s="63"/>
      <c r="E41" s="63"/>
      <c r="F41" s="63"/>
      <c r="G41" s="63"/>
      <c r="H41" s="63"/>
      <c r="I41" s="63"/>
      <c r="J41" s="63"/>
      <c r="K41" s="231">
        <f t="shared" ref="K41:K49" si="3">SUM(C41:J41)</f>
        <v>0</v>
      </c>
      <c r="L41" s="63"/>
      <c r="M41" s="63"/>
      <c r="N41" s="231">
        <f>SUM(K41:M41)</f>
        <v>0</v>
      </c>
      <c r="P41" s="996">
        <f>'Combining FST'!O87-'TAB F5.1, LT Liabilities'!K41</f>
        <v>0</v>
      </c>
      <c r="Q41" s="996">
        <f>'Combining FST'!P87-'TAB F5.1, LT Liabilities'!L41</f>
        <v>0</v>
      </c>
      <c r="R41" s="996">
        <f>'Elimination Entries to FST'!I164-'TAB F5.1, LT Liabilities'!M41</f>
        <v>0</v>
      </c>
    </row>
    <row r="42" spans="1:18" ht="12.75" x14ac:dyDescent="0.2">
      <c r="A42" s="889">
        <v>2025</v>
      </c>
      <c r="B42" s="889">
        <v>2026</v>
      </c>
      <c r="C42" s="63"/>
      <c r="D42" s="63"/>
      <c r="E42" s="63"/>
      <c r="F42" s="63"/>
      <c r="G42" s="63"/>
      <c r="H42" s="63"/>
      <c r="I42" s="63"/>
      <c r="J42" s="63"/>
      <c r="K42" s="231">
        <f t="shared" si="3"/>
        <v>0</v>
      </c>
      <c r="L42" s="63"/>
      <c r="M42" s="63"/>
      <c r="N42" s="231">
        <f t="shared" ref="N42:N49" si="4">SUM(K42:M42)</f>
        <v>0</v>
      </c>
      <c r="P42" s="645" t="s">
        <v>1409</v>
      </c>
      <c r="Q42" s="995" t="s">
        <v>1409</v>
      </c>
      <c r="R42" s="995" t="s">
        <v>1410</v>
      </c>
    </row>
    <row r="43" spans="1:18" ht="12.75" x14ac:dyDescent="0.2">
      <c r="A43" s="889">
        <v>2026</v>
      </c>
      <c r="B43" s="889">
        <v>2027</v>
      </c>
      <c r="C43" s="63"/>
      <c r="D43" s="63"/>
      <c r="E43" s="63"/>
      <c r="F43" s="63"/>
      <c r="G43" s="63"/>
      <c r="H43" s="63"/>
      <c r="I43" s="63"/>
      <c r="J43" s="63"/>
      <c r="K43" s="231">
        <f t="shared" si="3"/>
        <v>0</v>
      </c>
      <c r="L43" s="63"/>
      <c r="M43" s="63"/>
      <c r="N43" s="231">
        <f t="shared" si="4"/>
        <v>0</v>
      </c>
    </row>
    <row r="44" spans="1:18" ht="12.75" x14ac:dyDescent="0.2">
      <c r="A44" s="889">
        <v>2027</v>
      </c>
      <c r="B44" s="889">
        <v>2028</v>
      </c>
      <c r="C44" s="63"/>
      <c r="D44" s="63"/>
      <c r="E44" s="63"/>
      <c r="F44" s="63"/>
      <c r="G44" s="63"/>
      <c r="H44" s="63"/>
      <c r="I44" s="63"/>
      <c r="J44" s="63"/>
      <c r="K44" s="231">
        <f t="shared" si="3"/>
        <v>0</v>
      </c>
      <c r="L44" s="63"/>
      <c r="M44" s="63"/>
      <c r="N44" s="231">
        <f t="shared" si="4"/>
        <v>0</v>
      </c>
    </row>
    <row r="45" spans="1:18" ht="12.75" x14ac:dyDescent="0.2">
      <c r="A45" s="889">
        <v>2028</v>
      </c>
      <c r="B45" s="889">
        <v>2029</v>
      </c>
      <c r="C45" s="63"/>
      <c r="D45" s="63"/>
      <c r="E45" s="63"/>
      <c r="F45" s="63"/>
      <c r="G45" s="63"/>
      <c r="H45" s="63"/>
      <c r="I45" s="63"/>
      <c r="J45" s="63"/>
      <c r="K45" s="231">
        <f>SUM(C45:J45)</f>
        <v>0</v>
      </c>
      <c r="L45" s="63"/>
      <c r="M45" s="63"/>
      <c r="N45" s="231">
        <f t="shared" si="4"/>
        <v>0</v>
      </c>
    </row>
    <row r="46" spans="1:18" ht="12.75" x14ac:dyDescent="0.2">
      <c r="A46" s="649" t="s">
        <v>1658</v>
      </c>
      <c r="B46" s="649" t="s">
        <v>1817</v>
      </c>
      <c r="C46" s="63"/>
      <c r="D46" s="63"/>
      <c r="E46" s="63"/>
      <c r="F46" s="63"/>
      <c r="G46" s="63"/>
      <c r="H46" s="63"/>
      <c r="I46" s="63"/>
      <c r="J46" s="63"/>
      <c r="K46" s="231">
        <f>SUM(C46:J46)</f>
        <v>0</v>
      </c>
      <c r="L46" s="63"/>
      <c r="M46" s="63"/>
      <c r="N46" s="231">
        <f t="shared" si="4"/>
        <v>0</v>
      </c>
    </row>
    <row r="47" spans="1:18" ht="12.75" x14ac:dyDescent="0.2">
      <c r="A47" s="1564"/>
      <c r="B47" s="1328"/>
      <c r="C47" s="63"/>
      <c r="D47" s="63"/>
      <c r="E47" s="63"/>
      <c r="F47" s="63"/>
      <c r="G47" s="63"/>
      <c r="H47" s="63"/>
      <c r="I47" s="63"/>
      <c r="J47" s="63"/>
      <c r="K47" s="231">
        <f t="shared" si="3"/>
        <v>0</v>
      </c>
      <c r="L47" s="63"/>
      <c r="M47" s="63"/>
      <c r="N47" s="231">
        <f t="shared" si="4"/>
        <v>0</v>
      </c>
    </row>
    <row r="48" spans="1:18" ht="12.75" x14ac:dyDescent="0.2">
      <c r="A48" s="1564"/>
      <c r="B48" s="1565"/>
      <c r="C48" s="63"/>
      <c r="D48" s="63"/>
      <c r="E48" s="63"/>
      <c r="F48" s="63"/>
      <c r="G48" s="63"/>
      <c r="H48" s="63"/>
      <c r="I48" s="63"/>
      <c r="J48" s="63"/>
      <c r="K48" s="231">
        <f t="shared" si="3"/>
        <v>0</v>
      </c>
      <c r="L48" s="63"/>
      <c r="M48" s="63"/>
      <c r="N48" s="231">
        <f t="shared" si="4"/>
        <v>0</v>
      </c>
    </row>
    <row r="49" spans="1:14" ht="12.75" x14ac:dyDescent="0.2">
      <c r="A49" s="1564"/>
      <c r="B49" s="1565"/>
      <c r="C49" s="63"/>
      <c r="D49" s="63"/>
      <c r="E49" s="63"/>
      <c r="F49" s="63"/>
      <c r="G49" s="63"/>
      <c r="H49" s="63"/>
      <c r="I49" s="63"/>
      <c r="J49" s="63"/>
      <c r="K49" s="231">
        <f t="shared" si="3"/>
        <v>0</v>
      </c>
      <c r="L49" s="63"/>
      <c r="M49" s="63"/>
      <c r="N49" s="231">
        <f t="shared" si="4"/>
        <v>0</v>
      </c>
    </row>
    <row r="50" spans="1:14" ht="13.5" thickBot="1" x14ac:dyDescent="0.25">
      <c r="B50" s="227" t="s">
        <v>28</v>
      </c>
      <c r="C50" s="232">
        <f>IF(SUM(C41:C49)='Combining FST'!G87+'Combining FST'!G98,SUM(C41:C49),"ERROR")</f>
        <v>0</v>
      </c>
      <c r="D50" s="232">
        <f>IF(SUM(D41:D49)='Combining FST'!H87+'Combining FST'!H98,SUM(D41:D49),"ERROR")</f>
        <v>0</v>
      </c>
      <c r="E50" s="232">
        <f>IF(SUM(E41:E49)='Combining FST'!I87+'Combining FST'!I98,SUM(E41:E49),"ERROR")</f>
        <v>0</v>
      </c>
      <c r="F50" s="232">
        <f>IF(SUM(F41:F49)='Combining FST'!J87+'Combining FST'!J98,SUM(F41:F49),"ERROR")</f>
        <v>0</v>
      </c>
      <c r="G50" s="232">
        <f>IF(SUM(G41:G49)='Combining FST'!K87+'Combining FST'!K98,SUM(G41:G49),"ERROR")</f>
        <v>0</v>
      </c>
      <c r="H50" s="232">
        <f>IF(SUM(H41:H49)='Combining FST'!L87+'Combining FST'!L98,SUM(H41:H49),"ERROR")</f>
        <v>0</v>
      </c>
      <c r="I50" s="232">
        <f>IF(SUM(I41:I49)='Combining FST'!M87+'Combining FST'!M98,SUM(I41:I49),"ERROR")</f>
        <v>0</v>
      </c>
      <c r="J50" s="232">
        <f>IF(SUM(J41:J49)='Combining FST'!N87+'Combining FST'!N98,SUM(J41:J49),"ERROR")</f>
        <v>0</v>
      </c>
      <c r="K50" s="232">
        <f>IF(SUM(K41:K49)='Combining FST'!O87+'Combining FST'!O98,SUM(K41:K49),"ERROR")</f>
        <v>0</v>
      </c>
      <c r="L50" s="232">
        <f>IF(SUM(L41:L49)='Combining FST'!P87+'Combining FST'!P98,SUM(L41:L49),"ERROR")</f>
        <v>0</v>
      </c>
      <c r="M50" s="232">
        <f>IF(SUM(M41:M49)='Elimination Entries to FST'!I164+'Elimination Entries to FST'!I180,SUM(M41:M49),"ERROR")</f>
        <v>0</v>
      </c>
      <c r="N50" s="232">
        <f>IF(SUM(N41:N49)=SUM(FST!H163+FST!H179+'Elimination Entries to FST'!I164,'Elimination Entries to FST'!I180),SUM(N41:N49),"ERROR")</f>
        <v>0</v>
      </c>
    </row>
    <row r="51" spans="1:14" ht="14.1" customHeight="1" thickTop="1" x14ac:dyDescent="0.2">
      <c r="C51" s="369" t="s">
        <v>282</v>
      </c>
      <c r="D51" s="369" t="s">
        <v>282</v>
      </c>
      <c r="E51" s="369" t="s">
        <v>282</v>
      </c>
      <c r="F51" s="369" t="s">
        <v>282</v>
      </c>
      <c r="G51" s="369" t="s">
        <v>282</v>
      </c>
      <c r="H51" s="369" t="s">
        <v>282</v>
      </c>
      <c r="I51" s="369" t="s">
        <v>282</v>
      </c>
      <c r="J51" s="369" t="s">
        <v>282</v>
      </c>
      <c r="K51" s="369" t="s">
        <v>282</v>
      </c>
      <c r="L51" s="369" t="s">
        <v>282</v>
      </c>
      <c r="M51" s="227" t="s">
        <v>283</v>
      </c>
      <c r="N51" s="227" t="s">
        <v>284</v>
      </c>
    </row>
    <row r="52" spans="1:14" ht="14.1" customHeight="1" x14ac:dyDescent="0.2">
      <c r="B52" s="451" t="s">
        <v>821</v>
      </c>
      <c r="C52" s="454">
        <f>SUM(C41:C49)</f>
        <v>0</v>
      </c>
      <c r="D52" s="454">
        <f t="shared" ref="D52:N52" si="5">SUM(D41:D49)</f>
        <v>0</v>
      </c>
      <c r="E52" s="454">
        <f t="shared" si="5"/>
        <v>0</v>
      </c>
      <c r="F52" s="454">
        <f t="shared" si="5"/>
        <v>0</v>
      </c>
      <c r="G52" s="454">
        <f t="shared" si="5"/>
        <v>0</v>
      </c>
      <c r="H52" s="454">
        <f t="shared" si="5"/>
        <v>0</v>
      </c>
      <c r="I52" s="454">
        <f t="shared" si="5"/>
        <v>0</v>
      </c>
      <c r="J52" s="454">
        <f t="shared" si="5"/>
        <v>0</v>
      </c>
      <c r="K52" s="454">
        <f t="shared" si="5"/>
        <v>0</v>
      </c>
      <c r="L52" s="454">
        <f t="shared" si="5"/>
        <v>0</v>
      </c>
      <c r="M52" s="454">
        <f t="shared" si="5"/>
        <v>0</v>
      </c>
      <c r="N52" s="454">
        <f t="shared" si="5"/>
        <v>0</v>
      </c>
    </row>
    <row r="53" spans="1:14" ht="12.75" x14ac:dyDescent="0.2">
      <c r="B53" s="451" t="s">
        <v>410</v>
      </c>
      <c r="C53" s="454">
        <f>SUM('Combining FST'!G87,'Combining FST'!G98)-C52</f>
        <v>0</v>
      </c>
      <c r="D53" s="454">
        <f>SUM('Combining FST'!H87,'Combining FST'!H98)-D52</f>
        <v>0</v>
      </c>
      <c r="E53" s="454">
        <f>SUM('Combining FST'!I87,'Combining FST'!I98)-E52</f>
        <v>0</v>
      </c>
      <c r="F53" s="454">
        <f>SUM('Combining FST'!J87,'Combining FST'!J98)-F52</f>
        <v>0</v>
      </c>
      <c r="G53" s="454">
        <f>SUM('Combining FST'!K87,'Combining FST'!K98)-G52</f>
        <v>0</v>
      </c>
      <c r="H53" s="454">
        <f>SUM('Combining FST'!L87,'Combining FST'!L98)-H52</f>
        <v>0</v>
      </c>
      <c r="I53" s="454">
        <f>SUM('Combining FST'!M87,'Combining FST'!M98)-I52</f>
        <v>0</v>
      </c>
      <c r="J53" s="454">
        <f>SUM('Combining FST'!N87,'Combining FST'!N98)-J52</f>
        <v>0</v>
      </c>
      <c r="K53" s="454">
        <f>SUM('Combining FST'!O87,'Combining FST'!O98)-K52</f>
        <v>0</v>
      </c>
      <c r="L53" s="454">
        <f>SUM('Combining FST'!P87,'Combining FST'!P98)-L52</f>
        <v>0</v>
      </c>
      <c r="M53" s="454">
        <f>SUM('Elimination Entries to FST'!I164,'Elimination Entries to FST'!I180)-'TAB F5.1, LT Liabilities'!M52</f>
        <v>0</v>
      </c>
      <c r="N53" s="454">
        <f>SUM(FST!H163,FST!H179,'Elimination Entries to FST'!I164,'Elimination Entries to FST'!I180)-'TAB F5.1, LT Liabilities'!N52</f>
        <v>0</v>
      </c>
    </row>
    <row r="54" spans="1:14" ht="51.75" customHeight="1" x14ac:dyDescent="0.2">
      <c r="A54" s="1552" t="s">
        <v>280</v>
      </c>
      <c r="B54" s="1552"/>
      <c r="C54" s="1552"/>
      <c r="D54" s="1552"/>
      <c r="E54" s="1552"/>
      <c r="F54" s="1552"/>
    </row>
    <row r="55" spans="1:14" ht="42.75" customHeight="1" x14ac:dyDescent="0.2">
      <c r="A55" s="1551" t="s">
        <v>24</v>
      </c>
      <c r="B55" s="1613"/>
      <c r="C55" s="1613"/>
      <c r="D55" s="1613"/>
      <c r="E55" s="1613"/>
      <c r="F55" s="1614"/>
    </row>
    <row r="56" spans="1:14" ht="59.25" customHeight="1" x14ac:dyDescent="0.2">
      <c r="A56" s="1551" t="s">
        <v>281</v>
      </c>
      <c r="B56" s="1613"/>
      <c r="C56" s="1613"/>
      <c r="D56" s="1613"/>
      <c r="E56" s="1613"/>
      <c r="F56" s="1614"/>
      <c r="J56" s="227"/>
    </row>
    <row r="57" spans="1:14" ht="14.1" customHeight="1" x14ac:dyDescent="0.2">
      <c r="J57" s="227"/>
    </row>
    <row r="58" spans="1:14" ht="14.1" customHeight="1" x14ac:dyDescent="0.2">
      <c r="J58" s="227"/>
    </row>
    <row r="59" spans="1:14" s="828" customFormat="1" ht="14.1" customHeight="1" x14ac:dyDescent="0.2">
      <c r="J59" s="995"/>
    </row>
    <row r="60" spans="1:14" s="828" customFormat="1" ht="14.1" hidden="1" customHeight="1" x14ac:dyDescent="0.2">
      <c r="A60" s="133" t="s">
        <v>1484</v>
      </c>
      <c r="J60" s="995"/>
    </row>
    <row r="61" spans="1:14" s="828" customFormat="1" ht="14.1" hidden="1" customHeight="1" x14ac:dyDescent="0.2">
      <c r="J61" s="995"/>
    </row>
    <row r="62" spans="1:14" s="828" customFormat="1" ht="14.1" hidden="1" customHeight="1" x14ac:dyDescent="0.2"/>
    <row r="63" spans="1:14" s="828" customFormat="1" ht="14.1" hidden="1" customHeight="1" x14ac:dyDescent="0.2">
      <c r="A63" s="1616" t="s">
        <v>989</v>
      </c>
      <c r="B63" s="1621"/>
      <c r="K63" s="1030"/>
    </row>
    <row r="64" spans="1:14" s="828" customFormat="1" ht="14.1" hidden="1" customHeight="1" x14ac:dyDescent="0.2">
      <c r="A64" s="648" t="s">
        <v>1485</v>
      </c>
      <c r="B64" s="648" t="s">
        <v>1486</v>
      </c>
      <c r="K64" s="1030"/>
    </row>
    <row r="65" spans="1:14" s="828" customFormat="1" ht="14.1" hidden="1" customHeight="1" x14ac:dyDescent="0.2">
      <c r="A65" s="889">
        <v>2021</v>
      </c>
      <c r="B65" s="889">
        <v>2022</v>
      </c>
      <c r="C65" s="831"/>
      <c r="D65" s="831"/>
      <c r="E65" s="831"/>
      <c r="F65" s="831"/>
      <c r="G65" s="831"/>
      <c r="H65" s="831"/>
      <c r="I65" s="831"/>
      <c r="J65" s="831"/>
      <c r="K65" s="1032">
        <f t="shared" ref="K65:K72" si="6">SUM(C65:J65)</f>
        <v>0</v>
      </c>
      <c r="L65" s="1038"/>
      <c r="M65" s="1038"/>
      <c r="N65" s="1039">
        <f t="shared" ref="N65:N70" si="7">SUM(K65:M65)</f>
        <v>0</v>
      </c>
    </row>
    <row r="66" spans="1:14" s="828" customFormat="1" ht="14.1" hidden="1" customHeight="1" x14ac:dyDescent="0.2">
      <c r="A66" s="889">
        <v>2022</v>
      </c>
      <c r="B66" s="889">
        <v>2023</v>
      </c>
      <c r="C66" s="831"/>
      <c r="D66" s="831"/>
      <c r="E66" s="831"/>
      <c r="F66" s="831"/>
      <c r="G66" s="831"/>
      <c r="H66" s="831"/>
      <c r="I66" s="831"/>
      <c r="J66" s="831"/>
      <c r="K66" s="1032">
        <f t="shared" si="6"/>
        <v>0</v>
      </c>
      <c r="L66" s="1038"/>
      <c r="M66" s="1038"/>
      <c r="N66" s="1039">
        <f t="shared" si="7"/>
        <v>0</v>
      </c>
    </row>
    <row r="67" spans="1:14" s="828" customFormat="1" ht="14.1" hidden="1" customHeight="1" x14ac:dyDescent="0.2">
      <c r="A67" s="889">
        <v>2023</v>
      </c>
      <c r="B67" s="889">
        <v>2024</v>
      </c>
      <c r="C67" s="831"/>
      <c r="D67" s="831"/>
      <c r="E67" s="831"/>
      <c r="F67" s="831"/>
      <c r="G67" s="831"/>
      <c r="H67" s="831"/>
      <c r="I67" s="831"/>
      <c r="J67" s="831"/>
      <c r="K67" s="1032">
        <f t="shared" si="6"/>
        <v>0</v>
      </c>
      <c r="L67" s="1038"/>
      <c r="M67" s="1038"/>
      <c r="N67" s="1039">
        <f t="shared" si="7"/>
        <v>0</v>
      </c>
    </row>
    <row r="68" spans="1:14" s="828" customFormat="1" ht="14.1" hidden="1" customHeight="1" x14ac:dyDescent="0.2">
      <c r="A68" s="889">
        <v>2024</v>
      </c>
      <c r="B68" s="889">
        <v>2025</v>
      </c>
      <c r="C68" s="831"/>
      <c r="D68" s="831"/>
      <c r="E68" s="831"/>
      <c r="F68" s="831"/>
      <c r="G68" s="831"/>
      <c r="H68" s="831"/>
      <c r="I68" s="831"/>
      <c r="J68" s="831"/>
      <c r="K68" s="1032">
        <f t="shared" si="6"/>
        <v>0</v>
      </c>
      <c r="L68" s="1038"/>
      <c r="M68" s="1038"/>
      <c r="N68" s="1039">
        <f t="shared" si="7"/>
        <v>0</v>
      </c>
    </row>
    <row r="69" spans="1:14" s="828" customFormat="1" ht="14.1" hidden="1" customHeight="1" x14ac:dyDescent="0.2">
      <c r="A69" s="889">
        <v>2025</v>
      </c>
      <c r="B69" s="889">
        <v>2026</v>
      </c>
      <c r="C69" s="831"/>
      <c r="D69" s="831"/>
      <c r="E69" s="831"/>
      <c r="F69" s="831"/>
      <c r="G69" s="831"/>
      <c r="H69" s="831"/>
      <c r="I69" s="831"/>
      <c r="J69" s="831"/>
      <c r="K69" s="1032">
        <f t="shared" si="6"/>
        <v>0</v>
      </c>
      <c r="L69" s="1038"/>
      <c r="M69" s="1038"/>
      <c r="N69" s="1039">
        <f t="shared" si="7"/>
        <v>0</v>
      </c>
    </row>
    <row r="70" spans="1:14" s="828" customFormat="1" ht="14.1" hidden="1" customHeight="1" x14ac:dyDescent="0.2">
      <c r="A70" s="649" t="s">
        <v>1487</v>
      </c>
      <c r="B70" s="649" t="s">
        <v>1393</v>
      </c>
      <c r="C70" s="831"/>
      <c r="D70" s="831"/>
      <c r="E70" s="831"/>
      <c r="F70" s="831"/>
      <c r="G70" s="831"/>
      <c r="H70" s="831"/>
      <c r="I70" s="831"/>
      <c r="J70" s="831"/>
      <c r="K70" s="1032">
        <f t="shared" si="6"/>
        <v>0</v>
      </c>
      <c r="L70" s="1038"/>
      <c r="M70" s="1038"/>
      <c r="N70" s="1039">
        <f t="shared" si="7"/>
        <v>0</v>
      </c>
    </row>
    <row r="71" spans="1:14" s="828" customFormat="1" ht="14.1" hidden="1" customHeight="1" x14ac:dyDescent="0.2">
      <c r="B71" s="300" t="s">
        <v>1488</v>
      </c>
      <c r="C71" s="1032">
        <f>SUM(C65:C70)</f>
        <v>0</v>
      </c>
      <c r="D71" s="1032">
        <f t="shared" ref="D71:K71" si="8">SUM(D65:D70)</f>
        <v>0</v>
      </c>
      <c r="E71" s="1032">
        <f t="shared" si="8"/>
        <v>0</v>
      </c>
      <c r="F71" s="1032">
        <f t="shared" si="8"/>
        <v>0</v>
      </c>
      <c r="G71" s="1032">
        <f t="shared" si="8"/>
        <v>0</v>
      </c>
      <c r="H71" s="1032">
        <f t="shared" si="8"/>
        <v>0</v>
      </c>
      <c r="I71" s="1032">
        <f t="shared" si="8"/>
        <v>0</v>
      </c>
      <c r="J71" s="1032">
        <f t="shared" si="8"/>
        <v>0</v>
      </c>
      <c r="K71" s="1032">
        <f t="shared" si="8"/>
        <v>0</v>
      </c>
      <c r="L71" s="1032">
        <f>SUM(L65:L70)</f>
        <v>0</v>
      </c>
      <c r="M71" s="1032">
        <f>SUM(M65:M70)</f>
        <v>0</v>
      </c>
      <c r="N71" s="1032">
        <f>SUM(N65:N70)</f>
        <v>0</v>
      </c>
    </row>
    <row r="72" spans="1:14" s="828" customFormat="1" ht="14.1" hidden="1" customHeight="1" x14ac:dyDescent="0.2">
      <c r="A72" s="1622" t="s">
        <v>1489</v>
      </c>
      <c r="B72" s="1623"/>
      <c r="C72" s="1040"/>
      <c r="D72" s="1040"/>
      <c r="E72" s="1040"/>
      <c r="F72" s="1040"/>
      <c r="G72" s="1040"/>
      <c r="H72" s="1040"/>
      <c r="I72" s="1040"/>
      <c r="J72" s="1040"/>
      <c r="K72" s="1032">
        <f t="shared" si="6"/>
        <v>0</v>
      </c>
      <c r="L72" s="1038"/>
      <c r="M72" s="1038"/>
      <c r="N72" s="1039">
        <f>SUM(K72:M72)</f>
        <v>0</v>
      </c>
    </row>
    <row r="73" spans="1:14" s="828" customFormat="1" ht="14.1" hidden="1" customHeight="1" thickBot="1" x14ac:dyDescent="0.25">
      <c r="A73" s="1622" t="s">
        <v>1490</v>
      </c>
      <c r="B73" s="1623"/>
      <c r="C73" s="1041">
        <f>IF(SUM(C71:C72)='Combining FST'!G85+'Combining FST'!G96,SUM(C71:C72),"ERROR")</f>
        <v>0</v>
      </c>
      <c r="D73" s="1041">
        <f>IF(SUM(D71:D72)='Combining FST'!H85+'Combining FST'!H96,SUM(D71:D72),"ERROR")</f>
        <v>0</v>
      </c>
      <c r="E73" s="1041">
        <f>IF(SUM(E71:E72)='Combining FST'!I85+'Combining FST'!I96,SUM(E71:E72),"ERROR")</f>
        <v>0</v>
      </c>
      <c r="F73" s="1041">
        <f>IF(SUM(F71:F72)='Combining FST'!J85+'Combining FST'!J96,SUM(F71:F72),"ERROR")</f>
        <v>0</v>
      </c>
      <c r="G73" s="1041">
        <f>IF(SUM(G71:G72)='Combining FST'!K85+'Combining FST'!K96,SUM(G71:G72),"ERROR")</f>
        <v>0</v>
      </c>
      <c r="H73" s="1041">
        <f>IF(SUM(H71:H72)='Combining FST'!L85+'Combining FST'!L96,SUM(H71:H72),"ERROR")</f>
        <v>0</v>
      </c>
      <c r="I73" s="1041">
        <f>IF(SUM(I71:I72)='Combining FST'!M85+'Combining FST'!M96,SUM(I71:I72),"ERROR")</f>
        <v>0</v>
      </c>
      <c r="J73" s="1041">
        <f>IF(SUM(J71:J72)='Combining FST'!N85+'Combining FST'!N96,SUM(J71:J72),"ERROR")</f>
        <v>0</v>
      </c>
      <c r="K73" s="1041">
        <f>IF(SUM(K71:K72)='Combining FST'!O85+'Combining FST'!O96,SUM(K71:K72),"ERROR")</f>
        <v>0</v>
      </c>
      <c r="L73" s="1041">
        <f>IF(SUM(L71:L72)='Combining FST'!P85+'Combining FST'!P96,SUM(L71:L72),"ERROR")</f>
        <v>0</v>
      </c>
      <c r="M73" s="1041">
        <f>IF(SUM(M71:M72)='Elimination Entries to FST'!I160+'Elimination Entries to FST'!I175,SUM(M71:M72),"ERROR")</f>
        <v>0</v>
      </c>
      <c r="N73" s="1041">
        <f>IF(SUM(N71:N72)=SUM(FST!H159+FST!H174+'Elimination Entries to FST'!I160,'Elimination Entries to FST'!I175),SUM(N71:N72),"ERROR")</f>
        <v>0</v>
      </c>
    </row>
    <row r="74" spans="1:14" s="995" customFormat="1" ht="14.1" hidden="1" customHeight="1" thickTop="1" x14ac:dyDescent="0.2">
      <c r="B74" s="977"/>
      <c r="C74" s="995" t="s">
        <v>30</v>
      </c>
      <c r="D74" s="995" t="s">
        <v>30</v>
      </c>
      <c r="E74" s="995" t="s">
        <v>30</v>
      </c>
      <c r="F74" s="995" t="s">
        <v>30</v>
      </c>
      <c r="G74" s="995" t="s">
        <v>30</v>
      </c>
      <c r="H74" s="995" t="s">
        <v>30</v>
      </c>
      <c r="I74" s="995" t="s">
        <v>30</v>
      </c>
      <c r="J74" s="995" t="s">
        <v>30</v>
      </c>
      <c r="K74" s="995" t="s">
        <v>30</v>
      </c>
      <c r="L74" s="995" t="s">
        <v>30</v>
      </c>
      <c r="M74" s="995" t="s">
        <v>31</v>
      </c>
      <c r="N74" s="995" t="s">
        <v>32</v>
      </c>
    </row>
    <row r="75" spans="1:14" s="828" customFormat="1" ht="14.1" hidden="1" customHeight="1" x14ac:dyDescent="0.2">
      <c r="B75" s="451" t="s">
        <v>821</v>
      </c>
      <c r="C75" s="454">
        <f>SUM(C71:C72)</f>
        <v>0</v>
      </c>
      <c r="D75" s="454">
        <f t="shared" ref="D75:N75" si="9">SUM(D71:D72)</f>
        <v>0</v>
      </c>
      <c r="E75" s="454">
        <f t="shared" si="9"/>
        <v>0</v>
      </c>
      <c r="F75" s="454">
        <f t="shared" si="9"/>
        <v>0</v>
      </c>
      <c r="G75" s="454">
        <f t="shared" si="9"/>
        <v>0</v>
      </c>
      <c r="H75" s="454">
        <f t="shared" si="9"/>
        <v>0</v>
      </c>
      <c r="I75" s="454">
        <f t="shared" si="9"/>
        <v>0</v>
      </c>
      <c r="J75" s="454">
        <f t="shared" si="9"/>
        <v>0</v>
      </c>
      <c r="K75" s="454">
        <f t="shared" si="9"/>
        <v>0</v>
      </c>
      <c r="L75" s="454">
        <f t="shared" si="9"/>
        <v>0</v>
      </c>
      <c r="M75" s="454">
        <f t="shared" si="9"/>
        <v>0</v>
      </c>
      <c r="N75" s="454">
        <f t="shared" si="9"/>
        <v>0</v>
      </c>
    </row>
    <row r="76" spans="1:14" s="828" customFormat="1" ht="14.1" hidden="1" customHeight="1" x14ac:dyDescent="0.2">
      <c r="B76" s="451" t="s">
        <v>410</v>
      </c>
      <c r="C76" s="454">
        <f>SUM('Combining FST'!G85,'Combining FST'!G96)-C75</f>
        <v>0</v>
      </c>
      <c r="D76" s="454">
        <f>SUM('Combining FST'!H85,'Combining FST'!H96)-D75</f>
        <v>0</v>
      </c>
      <c r="E76" s="454">
        <f>SUM('Combining FST'!I85,'Combining FST'!I96)-E75</f>
        <v>0</v>
      </c>
      <c r="F76" s="454">
        <f>SUM('Combining FST'!J85,'Combining FST'!J96)-F75</f>
        <v>0</v>
      </c>
      <c r="G76" s="454">
        <f>SUM('Combining FST'!K85,'Combining FST'!K96)-G75</f>
        <v>0</v>
      </c>
      <c r="H76" s="454">
        <f>SUM('Combining FST'!L85,'Combining FST'!L96)-H75</f>
        <v>0</v>
      </c>
      <c r="I76" s="454">
        <f>SUM('Combining FST'!M85,'Combining FST'!M96)-I75</f>
        <v>0</v>
      </c>
      <c r="J76" s="454">
        <f>SUM('Combining FST'!N85,'Combining FST'!N96)-J75</f>
        <v>0</v>
      </c>
      <c r="K76" s="454">
        <f>SUM('Combining FST'!O85,'Combining FST'!O96)-K75</f>
        <v>0</v>
      </c>
      <c r="L76" s="454">
        <f>SUM('Combining FST'!P85,'Combining FST'!P96)-L75</f>
        <v>0</v>
      </c>
      <c r="M76" s="454">
        <f>SUM('Elimination Entries to FST'!I160,'Elimination Entries to FST'!I175)-'TAB F5.1, LT Liabilities'!M75</f>
        <v>0</v>
      </c>
      <c r="N76" s="454">
        <f>SUM(FST!H159,FST!H174,'Elimination Entries to FST'!I160,'Elimination Entries to FST'!I175)-'TAB F5.1, LT Liabilities'!N75</f>
        <v>0</v>
      </c>
    </row>
    <row r="77" spans="1:14" s="828" customFormat="1" ht="14.1" hidden="1" customHeight="1" x14ac:dyDescent="0.2">
      <c r="A77" s="1567" t="s">
        <v>1491</v>
      </c>
      <c r="B77" s="1578"/>
      <c r="C77" s="1578"/>
      <c r="D77" s="1578"/>
      <c r="E77" s="1578"/>
      <c r="F77" s="1579"/>
      <c r="H77" s="1624" t="str">
        <f>IF(K73&lt;&gt;0,"Reminder:  Provide capital asset balances as of year-end that were purchased with the capital leases in Part 3b."," ")</f>
        <v xml:space="preserve"> </v>
      </c>
      <c r="I77" s="1624"/>
      <c r="J77" s="1624"/>
      <c r="K77" s="1624"/>
      <c r="L77" s="1624"/>
      <c r="M77" s="1624"/>
      <c r="N77" s="1624"/>
    </row>
    <row r="78" spans="1:14" s="828" customFormat="1" ht="14.1" hidden="1" customHeight="1" x14ac:dyDescent="0.2">
      <c r="A78" s="1567" t="s">
        <v>1492</v>
      </c>
      <c r="B78" s="1578"/>
      <c r="C78" s="1578"/>
      <c r="D78" s="1578"/>
      <c r="E78" s="1578"/>
      <c r="F78" s="1579"/>
    </row>
    <row r="79" spans="1:14" s="828" customFormat="1" ht="14.1" hidden="1" customHeight="1" x14ac:dyDescent="0.2">
      <c r="A79" s="1567" t="s">
        <v>1493</v>
      </c>
      <c r="B79" s="1578"/>
      <c r="C79" s="1578"/>
      <c r="D79" s="1578"/>
      <c r="E79" s="1578"/>
      <c r="F79" s="1579"/>
      <c r="H79" s="1624" t="str">
        <f>IF(OR(L73&lt;&gt;0,M73&lt;&gt;0),"Reminder:  Provide eliminations for capital assets purchased with capital leases that are eliminated in Part 3b.  Note:  This is only for the capital lease footnote disclosure."," ")</f>
        <v xml:space="preserve"> </v>
      </c>
      <c r="I79" s="1624"/>
      <c r="J79" s="1624"/>
      <c r="K79" s="1624"/>
      <c r="L79" s="1624"/>
      <c r="M79" s="1624"/>
      <c r="N79" s="1624"/>
    </row>
    <row r="80" spans="1:14" s="828" customFormat="1" ht="14.1" hidden="1" customHeight="1" x14ac:dyDescent="0.2">
      <c r="F80" s="995"/>
    </row>
    <row r="81" spans="1:14" s="828" customFormat="1" ht="14.1" hidden="1" customHeight="1" x14ac:dyDescent="0.2"/>
    <row r="82" spans="1:14" s="828" customFormat="1" ht="14.1" hidden="1" customHeight="1" x14ac:dyDescent="0.2"/>
    <row r="83" spans="1:14" s="828" customFormat="1" ht="14.1" hidden="1" customHeight="1" x14ac:dyDescent="0.2">
      <c r="A83" s="829" t="s">
        <v>1494</v>
      </c>
    </row>
    <row r="84" spans="1:14" s="828" customFormat="1" ht="14.1" hidden="1" customHeight="1" x14ac:dyDescent="0.2">
      <c r="A84" s="829"/>
      <c r="K84" s="1030"/>
    </row>
    <row r="85" spans="1:14" s="828" customFormat="1" ht="14.1" hidden="1" customHeight="1" x14ac:dyDescent="0.2">
      <c r="B85" s="995" t="s">
        <v>1495</v>
      </c>
      <c r="C85" s="1038"/>
      <c r="D85" s="1038"/>
      <c r="E85" s="1038"/>
      <c r="F85" s="1038"/>
      <c r="G85" s="1038"/>
      <c r="H85" s="1038"/>
      <c r="I85" s="1038"/>
      <c r="J85" s="1038"/>
      <c r="K85" s="1039">
        <f>SUM(C85:J85)</f>
        <v>0</v>
      </c>
      <c r="L85" s="1038"/>
      <c r="M85" s="1038"/>
      <c r="N85" s="1039">
        <f>SUM(K85:M85)</f>
        <v>0</v>
      </c>
    </row>
    <row r="86" spans="1:14" s="828" customFormat="1" ht="14.1" hidden="1" customHeight="1" x14ac:dyDescent="0.2">
      <c r="A86" s="1625" t="s">
        <v>1496</v>
      </c>
      <c r="B86" s="1626"/>
      <c r="C86" s="1042"/>
      <c r="D86" s="1042"/>
      <c r="E86" s="1042"/>
      <c r="F86" s="1042"/>
      <c r="G86" s="1042"/>
      <c r="H86" s="1042"/>
      <c r="I86" s="1042"/>
      <c r="J86" s="1042"/>
      <c r="K86" s="1039">
        <f>SUM(C86:J86)</f>
        <v>0</v>
      </c>
      <c r="L86" s="1038"/>
      <c r="M86" s="1038"/>
      <c r="N86" s="1039">
        <f>SUM(K86:M86)</f>
        <v>0</v>
      </c>
    </row>
    <row r="87" spans="1:14" s="828" customFormat="1" ht="14.1" hidden="1" customHeight="1" thickBot="1" x14ac:dyDescent="0.25">
      <c r="B87" s="995" t="s">
        <v>1497</v>
      </c>
      <c r="C87" s="1041">
        <f>SUM(C85:C86)</f>
        <v>0</v>
      </c>
      <c r="D87" s="1041">
        <f t="shared" ref="D87:J87" si="10">SUM(D85:D86)</f>
        <v>0</v>
      </c>
      <c r="E87" s="1041">
        <f t="shared" si="10"/>
        <v>0</v>
      </c>
      <c r="F87" s="1041">
        <f t="shared" si="10"/>
        <v>0</v>
      </c>
      <c r="G87" s="1041">
        <f t="shared" si="10"/>
        <v>0</v>
      </c>
      <c r="H87" s="1041">
        <f t="shared" si="10"/>
        <v>0</v>
      </c>
      <c r="I87" s="1041">
        <f t="shared" si="10"/>
        <v>0</v>
      </c>
      <c r="J87" s="1041">
        <f t="shared" si="10"/>
        <v>0</v>
      </c>
      <c r="K87" s="1041">
        <f>SUM(K85:K86)</f>
        <v>0</v>
      </c>
      <c r="L87" s="1041">
        <f>SUM(L85:L86)</f>
        <v>0</v>
      </c>
      <c r="M87" s="1041">
        <f>SUM(M85:M86)</f>
        <v>0</v>
      </c>
      <c r="N87" s="1041">
        <f>SUM(N85:N86)</f>
        <v>0</v>
      </c>
    </row>
    <row r="88" spans="1:14" s="828" customFormat="1" ht="14.1" hidden="1" customHeight="1" thickTop="1" x14ac:dyDescent="0.2">
      <c r="C88" s="1031"/>
      <c r="D88" s="1031"/>
      <c r="E88" s="1031"/>
      <c r="F88" s="1031"/>
      <c r="G88" s="1031"/>
      <c r="H88" s="1031"/>
      <c r="I88" s="1031"/>
      <c r="J88" s="1031"/>
      <c r="K88" s="1031"/>
      <c r="L88" s="1031"/>
      <c r="M88" s="1031"/>
      <c r="N88" s="1031"/>
    </row>
    <row r="89" spans="1:14" s="828" customFormat="1" ht="14.1" hidden="1" customHeight="1" x14ac:dyDescent="0.2">
      <c r="B89" s="995" t="s">
        <v>1498</v>
      </c>
      <c r="C89" s="1038"/>
      <c r="D89" s="1038"/>
      <c r="E89" s="1038"/>
      <c r="F89" s="1038"/>
      <c r="G89" s="1038"/>
      <c r="H89" s="1038"/>
      <c r="I89" s="1038"/>
      <c r="J89" s="1038"/>
      <c r="K89" s="1039">
        <f>SUM(C89:J89)</f>
        <v>0</v>
      </c>
      <c r="L89" s="1038"/>
      <c r="M89" s="1038"/>
      <c r="N89" s="1039">
        <f>SUM(K89:M89)</f>
        <v>0</v>
      </c>
    </row>
    <row r="90" spans="1:14" s="828" customFormat="1" ht="14.1" hidden="1" customHeight="1" x14ac:dyDescent="0.2">
      <c r="A90" s="1625" t="s">
        <v>1499</v>
      </c>
      <c r="B90" s="1626"/>
      <c r="C90" s="1042"/>
      <c r="D90" s="1042"/>
      <c r="E90" s="1042"/>
      <c r="F90" s="1042"/>
      <c r="G90" s="1042"/>
      <c r="H90" s="1042"/>
      <c r="I90" s="1042"/>
      <c r="J90" s="1042"/>
      <c r="K90" s="1039">
        <f>SUM(C90:J90)</f>
        <v>0</v>
      </c>
      <c r="L90" s="1038"/>
      <c r="M90" s="1038"/>
      <c r="N90" s="1039">
        <f>SUM(K90:M90)</f>
        <v>0</v>
      </c>
    </row>
    <row r="91" spans="1:14" s="828" customFormat="1" ht="14.1" hidden="1" customHeight="1" thickBot="1" x14ac:dyDescent="0.25">
      <c r="B91" s="995" t="s">
        <v>1500</v>
      </c>
      <c r="C91" s="1041">
        <f>SUM(C89:C90)</f>
        <v>0</v>
      </c>
      <c r="D91" s="1041">
        <f t="shared" ref="D91:K91" si="11">SUM(D89:D90)</f>
        <v>0</v>
      </c>
      <c r="E91" s="1041">
        <f t="shared" si="11"/>
        <v>0</v>
      </c>
      <c r="F91" s="1041">
        <f t="shared" si="11"/>
        <v>0</v>
      </c>
      <c r="G91" s="1041">
        <f t="shared" si="11"/>
        <v>0</v>
      </c>
      <c r="H91" s="1041">
        <f t="shared" si="11"/>
        <v>0</v>
      </c>
      <c r="I91" s="1041">
        <f t="shared" si="11"/>
        <v>0</v>
      </c>
      <c r="J91" s="1041">
        <f t="shared" si="11"/>
        <v>0</v>
      </c>
      <c r="K91" s="1041">
        <f t="shared" si="11"/>
        <v>0</v>
      </c>
      <c r="L91" s="1041">
        <f>SUM(L89:L90)</f>
        <v>0</v>
      </c>
      <c r="M91" s="1041">
        <f>SUM(M89:M90)</f>
        <v>0</v>
      </c>
      <c r="N91" s="1041">
        <f>SUM(N89:N90)</f>
        <v>0</v>
      </c>
    </row>
    <row r="92" spans="1:14" s="828" customFormat="1" ht="14.1" hidden="1" customHeight="1" thickTop="1" x14ac:dyDescent="0.2"/>
    <row r="93" spans="1:14" s="828" customFormat="1" ht="14.1" hidden="1" customHeight="1" x14ac:dyDescent="0.2">
      <c r="A93" s="1625" t="s">
        <v>1501</v>
      </c>
      <c r="B93" s="1626"/>
      <c r="C93" s="830" t="str">
        <f>IF(C73=0,"N/A","Answer Required")</f>
        <v>N/A</v>
      </c>
      <c r="D93" s="830" t="str">
        <f t="shared" ref="D93:J93" si="12">IF(D73=0,"N/A","Answer Required")</f>
        <v>N/A</v>
      </c>
      <c r="E93" s="830" t="str">
        <f t="shared" si="12"/>
        <v>N/A</v>
      </c>
      <c r="F93" s="830" t="str">
        <f t="shared" si="12"/>
        <v>N/A</v>
      </c>
      <c r="G93" s="830" t="str">
        <f t="shared" si="12"/>
        <v>N/A</v>
      </c>
      <c r="H93" s="830" t="str">
        <f t="shared" si="12"/>
        <v>N/A</v>
      </c>
      <c r="I93" s="830" t="str">
        <f t="shared" si="12"/>
        <v>N/A</v>
      </c>
      <c r="J93" s="830" t="str">
        <f t="shared" si="12"/>
        <v>N/A</v>
      </c>
    </row>
    <row r="94" spans="1:14" s="828" customFormat="1" ht="14.1" hidden="1" customHeight="1" x14ac:dyDescent="0.2"/>
    <row r="95" spans="1:14" s="828" customFormat="1" ht="14.1" hidden="1" customHeight="1" x14ac:dyDescent="0.2">
      <c r="A95" s="1625" t="s">
        <v>1502</v>
      </c>
      <c r="B95" s="1626"/>
      <c r="C95" s="830" t="str">
        <f t="shared" ref="C95:J95" si="13">IF(C93="Yes","Answer Required","N/A")</f>
        <v>N/A</v>
      </c>
      <c r="D95" s="830" t="str">
        <f t="shared" si="13"/>
        <v>N/A</v>
      </c>
      <c r="E95" s="830" t="str">
        <f t="shared" si="13"/>
        <v>N/A</v>
      </c>
      <c r="F95" s="830" t="str">
        <f t="shared" si="13"/>
        <v>N/A</v>
      </c>
      <c r="G95" s="830" t="str">
        <f t="shared" si="13"/>
        <v>N/A</v>
      </c>
      <c r="H95" s="830" t="str">
        <f t="shared" si="13"/>
        <v>N/A</v>
      </c>
      <c r="I95" s="830" t="str">
        <f t="shared" si="13"/>
        <v>N/A</v>
      </c>
      <c r="J95" s="830" t="str">
        <f t="shared" si="13"/>
        <v>N/A</v>
      </c>
    </row>
    <row r="96" spans="1:14" s="828" customFormat="1" ht="14.1" customHeight="1" x14ac:dyDescent="0.2"/>
    <row r="97" spans="1:18" ht="14.1" customHeight="1" x14ac:dyDescent="0.2">
      <c r="A97" s="133" t="s">
        <v>1473</v>
      </c>
      <c r="J97" s="227"/>
    </row>
    <row r="98" spans="1:18" ht="14.1" customHeight="1" x14ac:dyDescent="0.2">
      <c r="J98" s="227"/>
    </row>
    <row r="100" spans="1:18" ht="13.5" customHeight="1" x14ac:dyDescent="0.2">
      <c r="A100" s="1616" t="s">
        <v>989</v>
      </c>
      <c r="B100" s="1195"/>
      <c r="P100" s="1612" t="s">
        <v>1411</v>
      </c>
      <c r="Q100" s="1612"/>
      <c r="R100" s="1612"/>
    </row>
    <row r="101" spans="1:18" ht="64.5" customHeight="1" x14ac:dyDescent="0.2">
      <c r="A101" s="648" t="s">
        <v>1815</v>
      </c>
      <c r="B101" s="648" t="s">
        <v>1816</v>
      </c>
      <c r="K101" s="59"/>
      <c r="P101" s="993" t="s">
        <v>364</v>
      </c>
      <c r="Q101" s="994" t="s">
        <v>610</v>
      </c>
      <c r="R101" s="994" t="s">
        <v>312</v>
      </c>
    </row>
    <row r="102" spans="1:18" ht="12.75" x14ac:dyDescent="0.2">
      <c r="A102" s="889">
        <v>2024</v>
      </c>
      <c r="B102" s="889">
        <v>2025</v>
      </c>
      <c r="C102" s="122"/>
      <c r="D102" s="122"/>
      <c r="E102" s="122"/>
      <c r="F102" s="122"/>
      <c r="G102" s="122"/>
      <c r="H102" s="122"/>
      <c r="I102" s="122"/>
      <c r="J102" s="122"/>
      <c r="K102" s="240">
        <f t="shared" ref="K102:K107" si="14">SUM(C102:J102)</f>
        <v>0</v>
      </c>
      <c r="L102" s="63"/>
      <c r="M102" s="63"/>
      <c r="N102" s="231">
        <f t="shared" ref="N102:N107" si="15">SUM(K102:M102)</f>
        <v>0</v>
      </c>
      <c r="P102" s="992">
        <f>'Combining FST'!O89-'TAB F5.1, LT Liabilities'!K102</f>
        <v>0</v>
      </c>
      <c r="Q102" s="996">
        <f>'Combining FST'!P89-'TAB F5.1, LT Liabilities'!L102</f>
        <v>0</v>
      </c>
      <c r="R102" s="996">
        <f>'Elimination Entries to FST'!I166-'TAB F5.1, LT Liabilities'!M102</f>
        <v>0</v>
      </c>
    </row>
    <row r="103" spans="1:18" ht="12.75" x14ac:dyDescent="0.2">
      <c r="A103" s="889">
        <v>2025</v>
      </c>
      <c r="B103" s="889">
        <v>2026</v>
      </c>
      <c r="C103" s="122"/>
      <c r="D103" s="122"/>
      <c r="E103" s="122"/>
      <c r="F103" s="122"/>
      <c r="G103" s="122"/>
      <c r="H103" s="122"/>
      <c r="I103" s="122"/>
      <c r="J103" s="122"/>
      <c r="K103" s="240">
        <f t="shared" si="14"/>
        <v>0</v>
      </c>
      <c r="L103" s="63"/>
      <c r="M103" s="63"/>
      <c r="N103" s="231">
        <f t="shared" si="15"/>
        <v>0</v>
      </c>
      <c r="P103" s="645" t="s">
        <v>1477</v>
      </c>
      <c r="Q103" s="645" t="s">
        <v>1477</v>
      </c>
      <c r="R103" s="645" t="s">
        <v>1503</v>
      </c>
    </row>
    <row r="104" spans="1:18" ht="12.75" x14ac:dyDescent="0.2">
      <c r="A104" s="889">
        <v>2026</v>
      </c>
      <c r="B104" s="889">
        <v>2027</v>
      </c>
      <c r="C104" s="122"/>
      <c r="D104" s="122"/>
      <c r="E104" s="122"/>
      <c r="F104" s="122"/>
      <c r="G104" s="122"/>
      <c r="H104" s="122"/>
      <c r="I104" s="122"/>
      <c r="J104" s="122"/>
      <c r="K104" s="240">
        <f t="shared" si="14"/>
        <v>0</v>
      </c>
      <c r="L104" s="63"/>
      <c r="M104" s="63"/>
      <c r="N104" s="231">
        <f t="shared" si="15"/>
        <v>0</v>
      </c>
    </row>
    <row r="105" spans="1:18" ht="12.75" x14ac:dyDescent="0.2">
      <c r="A105" s="889">
        <v>2027</v>
      </c>
      <c r="B105" s="889">
        <v>2028</v>
      </c>
      <c r="C105" s="122"/>
      <c r="D105" s="122"/>
      <c r="E105" s="122"/>
      <c r="F105" s="122"/>
      <c r="G105" s="122"/>
      <c r="H105" s="122"/>
      <c r="I105" s="122"/>
      <c r="J105" s="122"/>
      <c r="K105" s="240">
        <f t="shared" si="14"/>
        <v>0</v>
      </c>
      <c r="L105" s="63"/>
      <c r="M105" s="63"/>
      <c r="N105" s="231">
        <f t="shared" si="15"/>
        <v>0</v>
      </c>
    </row>
    <row r="106" spans="1:18" ht="12.75" x14ac:dyDescent="0.2">
      <c r="A106" s="889">
        <v>2028</v>
      </c>
      <c r="B106" s="889">
        <v>2029</v>
      </c>
      <c r="C106" s="122"/>
      <c r="D106" s="122"/>
      <c r="E106" s="122"/>
      <c r="F106" s="122"/>
      <c r="G106" s="122"/>
      <c r="H106" s="122"/>
      <c r="I106" s="122"/>
      <c r="J106" s="122"/>
      <c r="K106" s="240">
        <f t="shared" si="14"/>
        <v>0</v>
      </c>
      <c r="L106" s="63"/>
      <c r="M106" s="63"/>
      <c r="N106" s="231">
        <f t="shared" si="15"/>
        <v>0</v>
      </c>
    </row>
    <row r="107" spans="1:18" ht="12.75" x14ac:dyDescent="0.2">
      <c r="A107" s="649" t="s">
        <v>1658</v>
      </c>
      <c r="B107" s="649" t="s">
        <v>1817</v>
      </c>
      <c r="C107" s="122"/>
      <c r="D107" s="122"/>
      <c r="E107" s="122"/>
      <c r="F107" s="122"/>
      <c r="G107" s="122"/>
      <c r="H107" s="122"/>
      <c r="I107" s="122"/>
      <c r="J107" s="122"/>
      <c r="K107" s="240">
        <f t="shared" si="14"/>
        <v>0</v>
      </c>
      <c r="L107" s="63"/>
      <c r="M107" s="63"/>
      <c r="N107" s="231">
        <f t="shared" si="15"/>
        <v>0</v>
      </c>
    </row>
    <row r="108" spans="1:18" ht="13.5" thickBot="1" x14ac:dyDescent="0.25">
      <c r="B108" s="300" t="s">
        <v>29</v>
      </c>
      <c r="C108" s="232">
        <f>IF(SUM(C102:C107)='Combining FST'!G89+'Combining FST'!G100,SUM(C102:C107),"ERROR")</f>
        <v>0</v>
      </c>
      <c r="D108" s="232">
        <f>IF(SUM(D102:D107)='Combining FST'!H89+'Combining FST'!H100,SUM(D102:D107),"ERROR")</f>
        <v>0</v>
      </c>
      <c r="E108" s="232">
        <f>IF(SUM(E102:E107)='Combining FST'!I89+'Combining FST'!I100,SUM(E102:E107),"ERROR")</f>
        <v>0</v>
      </c>
      <c r="F108" s="232">
        <f>IF(SUM(F102:F107)='Combining FST'!J89+'Combining FST'!J100,SUM(F102:F107),"ERROR")</f>
        <v>0</v>
      </c>
      <c r="G108" s="232">
        <f>IF(SUM(G102:G107)='Combining FST'!K89+'Combining FST'!K100,SUM(G102:G107),"ERROR")</f>
        <v>0</v>
      </c>
      <c r="H108" s="232">
        <f>IF(SUM(H102:H107)='Combining FST'!L89+'Combining FST'!L100,SUM(H102:H107),"ERROR")</f>
        <v>0</v>
      </c>
      <c r="I108" s="232">
        <f>IF(SUM(I102:I107)='Combining FST'!M89+'Combining FST'!M100,SUM(I102:I107),"ERROR")</f>
        <v>0</v>
      </c>
      <c r="J108" s="232">
        <f>IF(SUM(J102:J107)='Combining FST'!N89+'Combining FST'!N100,SUM(J102:J107),"ERROR")</f>
        <v>0</v>
      </c>
      <c r="K108" s="232">
        <f>IF(SUM(K102:K107)='Combining FST'!O89+'Combining FST'!O100,SUM(K102:K107),"ERROR")</f>
        <v>0</v>
      </c>
      <c r="L108" s="232">
        <f>IF(SUM(L102:L107)='Combining FST'!P89+'Combining FST'!P100,SUM(L102:L107),"ERROR")</f>
        <v>0</v>
      </c>
      <c r="M108" s="232">
        <f>IF(SUM(M102:M107)='Elimination Entries to FST'!I166+'Elimination Entries to FST'!I182,SUM(M102:M107),"ERROR")</f>
        <v>0</v>
      </c>
      <c r="N108" s="232">
        <f>IF(SUM(N102:N107)=SUM(FST!H165+FST!H181+'Elimination Entries to FST'!I166,'Elimination Entries to FST'!I182),SUM(N102:N107),"ERROR")</f>
        <v>0</v>
      </c>
    </row>
    <row r="109" spans="1:18" ht="14.1" customHeight="1" thickTop="1" x14ac:dyDescent="0.2">
      <c r="B109" s="975"/>
      <c r="C109" s="995" t="s">
        <v>30</v>
      </c>
      <c r="D109" s="995" t="s">
        <v>30</v>
      </c>
      <c r="E109" s="995" t="s">
        <v>30</v>
      </c>
      <c r="F109" s="995" t="s">
        <v>30</v>
      </c>
      <c r="G109" s="995" t="s">
        <v>30</v>
      </c>
      <c r="H109" s="995" t="s">
        <v>30</v>
      </c>
      <c r="I109" s="995" t="s">
        <v>30</v>
      </c>
      <c r="J109" s="995" t="s">
        <v>30</v>
      </c>
      <c r="K109" s="995" t="s">
        <v>30</v>
      </c>
      <c r="L109" s="995" t="s">
        <v>30</v>
      </c>
      <c r="M109" s="995" t="s">
        <v>31</v>
      </c>
      <c r="N109" s="995" t="s">
        <v>32</v>
      </c>
    </row>
    <row r="110" spans="1:18" ht="14.1" customHeight="1" x14ac:dyDescent="0.2">
      <c r="B110" s="451" t="s">
        <v>821</v>
      </c>
      <c r="C110" s="454">
        <f>SUM(C102:C107)</f>
        <v>0</v>
      </c>
      <c r="D110" s="454">
        <f t="shared" ref="D110:N110" si="16">SUM(D102:D107)</f>
        <v>0</v>
      </c>
      <c r="E110" s="454">
        <f t="shared" si="16"/>
        <v>0</v>
      </c>
      <c r="F110" s="454">
        <f t="shared" si="16"/>
        <v>0</v>
      </c>
      <c r="G110" s="454">
        <f t="shared" si="16"/>
        <v>0</v>
      </c>
      <c r="H110" s="454">
        <f t="shared" si="16"/>
        <v>0</v>
      </c>
      <c r="I110" s="454">
        <f t="shared" si="16"/>
        <v>0</v>
      </c>
      <c r="J110" s="454">
        <f t="shared" si="16"/>
        <v>0</v>
      </c>
      <c r="K110" s="454">
        <f t="shared" si="16"/>
        <v>0</v>
      </c>
      <c r="L110" s="454">
        <f t="shared" si="16"/>
        <v>0</v>
      </c>
      <c r="M110" s="454">
        <f t="shared" si="16"/>
        <v>0</v>
      </c>
      <c r="N110" s="454">
        <f t="shared" si="16"/>
        <v>0</v>
      </c>
    </row>
    <row r="111" spans="1:18" ht="14.1" customHeight="1" x14ac:dyDescent="0.2">
      <c r="B111" s="451" t="s">
        <v>410</v>
      </c>
      <c r="C111" s="454">
        <f>SUM('Combining FST'!G89,'Combining FST'!G100)-C110</f>
        <v>0</v>
      </c>
      <c r="D111" s="454">
        <f>SUM('Combining FST'!H89,'Combining FST'!H100)-D110</f>
        <v>0</v>
      </c>
      <c r="E111" s="454">
        <f>SUM('Combining FST'!I89,'Combining FST'!I100)-E110</f>
        <v>0</v>
      </c>
      <c r="F111" s="454">
        <f>SUM('Combining FST'!J89,'Combining FST'!J100)-F110</f>
        <v>0</v>
      </c>
      <c r="G111" s="454">
        <f>SUM('Combining FST'!K89,'Combining FST'!K100)-G110</f>
        <v>0</v>
      </c>
      <c r="H111" s="454">
        <f>SUM('Combining FST'!L89,'Combining FST'!L100)-H110</f>
        <v>0</v>
      </c>
      <c r="I111" s="454">
        <f>SUM('Combining FST'!M89,'Combining FST'!M100)-I110</f>
        <v>0</v>
      </c>
      <c r="J111" s="454">
        <f>SUM('Combining FST'!N89,'Combining FST'!N100)-J110</f>
        <v>0</v>
      </c>
      <c r="K111" s="454">
        <f>SUM('Combining FST'!O89,'Combining FST'!O100)-K110</f>
        <v>0</v>
      </c>
      <c r="L111" s="454">
        <f>SUM('Combining FST'!P89,'Combining FST'!P100)-L110</f>
        <v>0</v>
      </c>
      <c r="M111" s="454">
        <f>SUM('Elimination Entries to FST'!I166,'Elimination Entries to FST'!I182)-'TAB F5.1, LT Liabilities'!M110</f>
        <v>0</v>
      </c>
      <c r="N111" s="454">
        <f>SUM(FST!H165,FST!H181,'Elimination Entries to FST'!I166,'Elimination Entries to FST'!I182)-'TAB F5.1, LT Liabilities'!N110</f>
        <v>0</v>
      </c>
    </row>
    <row r="112" spans="1:18" ht="46.5" customHeight="1" x14ac:dyDescent="0.2">
      <c r="A112" s="1567" t="s">
        <v>1474</v>
      </c>
      <c r="B112" s="1613"/>
      <c r="C112" s="1613"/>
      <c r="D112" s="1613"/>
      <c r="E112" s="1613"/>
      <c r="F112" s="1614"/>
    </row>
    <row r="113" spans="1:6" ht="51.75" customHeight="1" x14ac:dyDescent="0.2">
      <c r="A113" s="1567" t="s">
        <v>1475</v>
      </c>
      <c r="B113" s="1166"/>
      <c r="C113" s="1166"/>
      <c r="D113" s="1166"/>
      <c r="E113" s="1166"/>
      <c r="F113" s="1167"/>
    </row>
    <row r="114" spans="1:6" ht="54.75" customHeight="1" x14ac:dyDescent="0.2">
      <c r="A114" s="1566" t="s">
        <v>1476</v>
      </c>
      <c r="B114" s="1552"/>
      <c r="C114" s="1552"/>
      <c r="D114" s="1552"/>
      <c r="E114" s="1552"/>
      <c r="F114" s="1552"/>
    </row>
    <row r="115" spans="1:6" ht="14.1" customHeight="1" x14ac:dyDescent="0.2">
      <c r="F115" s="227"/>
    </row>
    <row r="116" spans="1:6" ht="14.1" hidden="1" customHeight="1" x14ac:dyDescent="0.2">
      <c r="C116" s="58" t="s">
        <v>285</v>
      </c>
      <c r="F116" s="227"/>
    </row>
    <row r="117" spans="1:6" ht="14.1" hidden="1" customHeight="1" x14ac:dyDescent="0.2">
      <c r="C117" s="58" t="s">
        <v>687</v>
      </c>
      <c r="F117" s="227"/>
    </row>
    <row r="118" spans="1:6" ht="14.1" hidden="1" customHeight="1" x14ac:dyDescent="0.2">
      <c r="C118" s="58" t="s">
        <v>688</v>
      </c>
    </row>
    <row r="119" spans="1:6" ht="14.1" hidden="1" customHeight="1" x14ac:dyDescent="0.2">
      <c r="C119" s="828" t="s">
        <v>339</v>
      </c>
    </row>
  </sheetData>
  <sheetProtection algorithmName="SHA-512" hashValue="i0nagAaJphrY0kEs+bEfsVkQ8QkPrDJSIzic39S6tH+bnFvWSyfIxkGl7O0Lf9lNntcMP2CRI2F5+OOmxeMDIA==" saltValue="cLmaTiVBisgT9DQhr6c5hw==" spinCount="100000" sheet="1" objects="1" scenarios="1"/>
  <mergeCells count="38">
    <mergeCell ref="A93:B93"/>
    <mergeCell ref="A95:B95"/>
    <mergeCell ref="A78:F78"/>
    <mergeCell ref="A79:F79"/>
    <mergeCell ref="H79:N79"/>
    <mergeCell ref="A86:B86"/>
    <mergeCell ref="A90:B90"/>
    <mergeCell ref="A63:B63"/>
    <mergeCell ref="A72:B72"/>
    <mergeCell ref="A73:B73"/>
    <mergeCell ref="A77:F77"/>
    <mergeCell ref="H77:N77"/>
    <mergeCell ref="P100:R100"/>
    <mergeCell ref="C1:F1"/>
    <mergeCell ref="A114:F114"/>
    <mergeCell ref="A100:B100"/>
    <mergeCell ref="A113:F113"/>
    <mergeCell ref="A112:F112"/>
    <mergeCell ref="C2:F2"/>
    <mergeCell ref="C3:F3"/>
    <mergeCell ref="C4:F4"/>
    <mergeCell ref="C5:F5"/>
    <mergeCell ref="C6:F6"/>
    <mergeCell ref="A10:F10"/>
    <mergeCell ref="A47:B47"/>
    <mergeCell ref="A56:F56"/>
    <mergeCell ref="A18:B18"/>
    <mergeCell ref="A39:B39"/>
    <mergeCell ref="A11:F11"/>
    <mergeCell ref="A54:F54"/>
    <mergeCell ref="P18:R18"/>
    <mergeCell ref="P39:R39"/>
    <mergeCell ref="A55:F55"/>
    <mergeCell ref="A30:F30"/>
    <mergeCell ref="A31:F31"/>
    <mergeCell ref="A48:B48"/>
    <mergeCell ref="A32:F32"/>
    <mergeCell ref="A49:B49"/>
  </mergeCells>
  <phoneticPr fontId="12" type="noConversion"/>
  <conditionalFormatting sqref="A18:O19 S18:XFD19 S39:XFD40 A39:O42 Q41:XFD41 A100:O103 S100:XFD103 A104:XFD1048576">
    <cfRule type="cellIs" dxfId="31" priority="19" operator="equal">
      <formula>"Answer Required"</formula>
    </cfRule>
  </conditionalFormatting>
  <conditionalFormatting sqref="A1:XFD17">
    <cfRule type="cellIs" dxfId="30" priority="4" operator="equal">
      <formula>"Answer Required"</formula>
    </cfRule>
  </conditionalFormatting>
  <conditionalFormatting sqref="A20:XFD38">
    <cfRule type="cellIs" dxfId="29" priority="14" operator="equal">
      <formula>"Answer Required"</formula>
    </cfRule>
  </conditionalFormatting>
  <conditionalFormatting sqref="A43:XFD99">
    <cfRule type="cellIs" dxfId="28" priority="1" operator="equal">
      <formula>"Answer Required"</formula>
    </cfRule>
  </conditionalFormatting>
  <conditionalFormatting sqref="H77:N77">
    <cfRule type="containsText" dxfId="27" priority="3" operator="containsText" text="Reminder:  Provide capital asset balances as of year-end that were purchasaed with the capital leases in Part 3b.">
      <formula>NOT(ISERROR(SEARCH("Reminder:  Provide capital asset balances as of year-end that were purchasaed with the capital leases in Part 3b.",H77)))</formula>
    </cfRule>
  </conditionalFormatting>
  <conditionalFormatting sqref="H79:N79">
    <cfRule type="containsText" dxfId="26" priority="2" operator="containsText" text="Reminder:  Provide eliminations for capital assets purchased with capital leases that are eliminated in Part 3b.  Note:  This is only for the capital lease footnote disclosure.">
      <formula>NOT(ISERROR(SEARCH("Reminder:  Provide eliminations for capital assets purchased with capital leases that are eliminated in Part 3b.  Note:  This is only for the capital lease footnote disclosure.",H79)))</formula>
    </cfRule>
  </conditionalFormatting>
  <conditionalFormatting sqref="P18">
    <cfRule type="cellIs" dxfId="25" priority="18" operator="equal">
      <formula>"Answer Required"</formula>
    </cfRule>
  </conditionalFormatting>
  <conditionalFormatting sqref="P39">
    <cfRule type="cellIs" dxfId="24" priority="13" operator="equal">
      <formula>"Answer Required"</formula>
    </cfRule>
  </conditionalFormatting>
  <conditionalFormatting sqref="P100">
    <cfRule type="cellIs" dxfId="23" priority="9" operator="equal">
      <formula>"Answer Required"</formula>
    </cfRule>
  </conditionalFormatting>
  <conditionalFormatting sqref="P19:R19">
    <cfRule type="cellIs" dxfId="22" priority="17" operator="equal">
      <formula>"Answer Required"</formula>
    </cfRule>
  </conditionalFormatting>
  <conditionalFormatting sqref="P40:R40">
    <cfRule type="cellIs" dxfId="21" priority="12" operator="equal">
      <formula>"Answer Required"</formula>
    </cfRule>
  </conditionalFormatting>
  <conditionalFormatting sqref="P101:R103">
    <cfRule type="cellIs" dxfId="20" priority="7" operator="equal">
      <formula>"Answer Required"</formula>
    </cfRule>
  </conditionalFormatting>
  <conditionalFormatting sqref="P42:XFD42">
    <cfRule type="cellIs" dxfId="19" priority="10" operator="equal">
      <formula>"Answer Required"</formula>
    </cfRule>
  </conditionalFormatting>
  <dataValidations count="4">
    <dataValidation type="whole" allowBlank="1" showErrorMessage="1" error="Enter whole number." sqref="C102:J107 C20:J25 L20:M25 C41:J49 L41:M49 L102:M107 C65:J70 C89:J90 L65:M70 C72:J72 L85:M86 L72:M72 L89:M90 C85:J86" xr:uid="{00000000-0002-0000-1700-000000000000}">
      <formula1>-10000000000000000</formula1>
      <formula2>10000000000000000</formula2>
    </dataValidation>
    <dataValidation type="whole" allowBlank="1" showInputMessage="1" showErrorMessage="1" error="Enter a 3-digit agency control number." sqref="C1:F1" xr:uid="{00000000-0002-0000-1700-000001000000}">
      <formula1>100</formula1>
      <formula2>999</formula2>
    </dataValidation>
    <dataValidation allowBlank="1" showInputMessage="1" showErrorMessage="1" error="Enter yes, no, or n/a" sqref="C95:J95" xr:uid="{00000000-0002-0000-1700-000002000000}"/>
    <dataValidation type="list" allowBlank="1" showInputMessage="1" showErrorMessage="1" error="Enter yes, no, or n/a" sqref="C93:J93" xr:uid="{00000000-0002-0000-1700-000003000000}">
      <formula1>$C$115:$C$117</formula1>
    </dataValidation>
  </dataValidations>
  <pageMargins left="0.7" right="0.7" top="1" bottom="0.75" header="0.3" footer="0.3"/>
  <pageSetup paperSize="5" scale="57" fitToHeight="0" orientation="landscape" cellComments="asDisplayed" r:id="rId1"/>
  <headerFooter alignWithMargins="0">
    <oddHeader>&amp;C&amp;"Arial,Bold"Attachment HE-10
Financial Statement Template
&amp;A</oddHeader>
    <oddFooter>&amp;L&amp;"Arial,Regular"&amp;F \ &amp;A&amp;R&amp;"Arial,Regular"Page &amp;P</oddFooter>
  </headerFooter>
  <rowBreaks count="2" manualBreakCount="2">
    <brk id="32" max="16383" man="1"/>
    <brk id="95" max="13"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59"/>
  <sheetViews>
    <sheetView showGridLines="0" zoomScale="90" zoomScaleNormal="90" zoomScaleSheetLayoutView="90" workbookViewId="0"/>
  </sheetViews>
  <sheetFormatPr defaultColWidth="10.6640625" defaultRowHeight="14.1" customHeight="1" x14ac:dyDescent="0.2"/>
  <cols>
    <col min="1" max="1" width="31" style="58" customWidth="1"/>
    <col min="2" max="2" width="20.83203125" style="58" customWidth="1"/>
    <col min="3" max="10" width="16.83203125" style="58" customWidth="1"/>
    <col min="11" max="11" width="24.33203125" style="58" customWidth="1"/>
    <col min="12" max="12" width="16.5" style="58" customWidth="1"/>
    <col min="13" max="16384" width="10.6640625" style="58"/>
  </cols>
  <sheetData>
    <row r="1" spans="1:11" ht="14.1" customHeight="1" x14ac:dyDescent="0.2">
      <c r="A1" s="824" t="s">
        <v>1155</v>
      </c>
      <c r="C1" s="1546">
        <f>FST!E1</f>
        <v>0</v>
      </c>
      <c r="D1" s="1628"/>
      <c r="E1" s="1628"/>
      <c r="F1" s="1628"/>
    </row>
    <row r="2" spans="1:11" s="33" customFormat="1" ht="36.75" customHeight="1" x14ac:dyDescent="0.2">
      <c r="A2" s="824" t="s">
        <v>770</v>
      </c>
      <c r="B2" s="31"/>
      <c r="C2" s="1546" t="str">
        <f>FST!E2</f>
        <v/>
      </c>
      <c r="D2" s="1628"/>
      <c r="E2" s="1628"/>
      <c r="F2" s="1628"/>
      <c r="G2" s="242"/>
      <c r="H2" s="285"/>
      <c r="I2" s="285"/>
      <c r="J2" s="285"/>
    </row>
    <row r="3" spans="1:11" s="33" customFormat="1" ht="12.75" x14ac:dyDescent="0.2">
      <c r="A3" s="824" t="s">
        <v>771</v>
      </c>
      <c r="B3" s="220"/>
      <c r="C3" s="1556">
        <f>FST!E3</f>
        <v>0</v>
      </c>
      <c r="D3" s="1630"/>
      <c r="E3" s="1630"/>
      <c r="F3" s="1630"/>
      <c r="G3" s="242"/>
      <c r="H3" s="285"/>
      <c r="I3" s="285"/>
      <c r="J3" s="285"/>
    </row>
    <row r="4" spans="1:11" s="33" customFormat="1" ht="12.75" x14ac:dyDescent="0.2">
      <c r="A4" s="824" t="s">
        <v>773</v>
      </c>
      <c r="B4" s="220"/>
      <c r="C4" s="1558">
        <f>FST!E4</f>
        <v>0</v>
      </c>
      <c r="D4" s="1631"/>
      <c r="E4" s="1631"/>
      <c r="F4" s="1631"/>
      <c r="G4" s="242"/>
      <c r="H4" s="285"/>
      <c r="I4" s="285"/>
      <c r="J4" s="285"/>
    </row>
    <row r="5" spans="1:11" s="33" customFormat="1" ht="12.75" x14ac:dyDescent="0.2">
      <c r="A5" s="825" t="s">
        <v>774</v>
      </c>
      <c r="B5" s="220"/>
      <c r="C5" s="1556">
        <f>FST!E5</f>
        <v>0</v>
      </c>
      <c r="D5" s="1630"/>
      <c r="E5" s="1630"/>
      <c r="F5" s="1630"/>
      <c r="G5" s="242"/>
      <c r="H5" s="285"/>
      <c r="I5" s="285"/>
      <c r="J5" s="285"/>
    </row>
    <row r="6" spans="1:11" s="33" customFormat="1" ht="12.75" x14ac:dyDescent="0.2">
      <c r="A6" s="826" t="s">
        <v>775</v>
      </c>
      <c r="B6" s="220"/>
      <c r="C6" s="1553">
        <f>FST!E6</f>
        <v>0</v>
      </c>
      <c r="D6" s="1632"/>
      <c r="E6" s="1632"/>
      <c r="F6" s="1632"/>
      <c r="G6" s="242"/>
      <c r="H6" s="286"/>
      <c r="I6" s="286"/>
      <c r="J6" s="286"/>
    </row>
    <row r="7" spans="1:11" s="33" customFormat="1" ht="12" x14ac:dyDescent="0.2">
      <c r="A7" s="67" t="s">
        <v>585</v>
      </c>
      <c r="B7" s="34"/>
    </row>
    <row r="8" spans="1:11" s="33" customFormat="1" ht="12" x14ac:dyDescent="0.2">
      <c r="A8" s="827"/>
      <c r="B8" s="34"/>
    </row>
    <row r="9" spans="1:11" s="33" customFormat="1" ht="12" x14ac:dyDescent="0.2">
      <c r="A9" s="1263" t="s">
        <v>53</v>
      </c>
      <c r="B9" s="1635"/>
      <c r="C9" s="1635"/>
      <c r="D9" s="1635"/>
      <c r="E9" s="1635"/>
      <c r="F9" s="1635"/>
    </row>
    <row r="10" spans="1:11" s="33" customFormat="1" ht="30.6" customHeight="1" x14ac:dyDescent="0.2">
      <c r="A10" s="1573" t="s">
        <v>1358</v>
      </c>
      <c r="B10" s="1629"/>
      <c r="C10" s="1629"/>
      <c r="D10" s="1629"/>
      <c r="E10" s="1629"/>
      <c r="F10" s="1629"/>
      <c r="G10" s="976"/>
      <c r="H10" s="976"/>
      <c r="I10" s="976"/>
      <c r="J10" s="976"/>
      <c r="K10" s="976"/>
    </row>
    <row r="11" spans="1:11" s="33" customFormat="1" ht="88.15" hidden="1" customHeight="1" x14ac:dyDescent="0.2">
      <c r="A11" s="1633" t="s">
        <v>1659</v>
      </c>
      <c r="B11" s="1633"/>
      <c r="C11" s="1633"/>
      <c r="D11" s="1633"/>
      <c r="E11" s="1633"/>
      <c r="F11" s="1633"/>
      <c r="G11" s="1633"/>
      <c r="H11" s="1633"/>
      <c r="I11" s="1633"/>
      <c r="J11" s="1633"/>
      <c r="K11" s="1633"/>
    </row>
    <row r="12" spans="1:11" s="33" customFormat="1" ht="13.5" customHeight="1" x14ac:dyDescent="0.2">
      <c r="A12" s="67"/>
      <c r="B12" s="1046"/>
      <c r="C12" s="1046"/>
      <c r="D12" s="1046"/>
      <c r="E12" s="1046"/>
      <c r="F12" s="1046"/>
    </row>
    <row r="13" spans="1:11" s="33" customFormat="1" ht="12" x14ac:dyDescent="0.2">
      <c r="A13" s="67" t="s">
        <v>1670</v>
      </c>
      <c r="B13" s="34"/>
    </row>
    <row r="14" spans="1:11" s="33" customFormat="1" ht="12" x14ac:dyDescent="0.2">
      <c r="A14" s="263" t="s">
        <v>1667</v>
      </c>
      <c r="B14" s="35"/>
      <c r="C14" s="36"/>
      <c r="D14" s="36"/>
      <c r="E14" s="36"/>
      <c r="F14" s="36"/>
      <c r="G14" s="36"/>
      <c r="H14" s="36"/>
      <c r="I14" s="36"/>
      <c r="J14" s="36"/>
      <c r="K14" s="36"/>
    </row>
    <row r="15" spans="1:11" ht="14.1" customHeight="1" x14ac:dyDescent="0.2">
      <c r="A15" s="829"/>
    </row>
    <row r="16" spans="1:11" ht="13.9" customHeight="1" x14ac:dyDescent="0.2">
      <c r="B16" s="224"/>
      <c r="C16" s="224"/>
      <c r="D16" s="224"/>
      <c r="E16" s="224"/>
      <c r="F16" s="224"/>
      <c r="G16" s="224"/>
    </row>
    <row r="17" spans="1:11" ht="57.95" customHeight="1" x14ac:dyDescent="0.2">
      <c r="A17" s="58" t="s">
        <v>54</v>
      </c>
      <c r="B17" s="224"/>
      <c r="C17" s="313">
        <f>'Combining FST'!G19</f>
        <v>0</v>
      </c>
      <c r="D17" s="313">
        <f>'Combining FST'!H19</f>
        <v>0</v>
      </c>
      <c r="E17" s="313">
        <f>'Combining FST'!I19</f>
        <v>0</v>
      </c>
      <c r="F17" s="313">
        <f>'Combining FST'!J19</f>
        <v>0</v>
      </c>
      <c r="G17" s="313">
        <f>'Combining FST'!K19</f>
        <v>0</v>
      </c>
      <c r="H17" s="313">
        <f>'Combining FST'!L19</f>
        <v>0</v>
      </c>
      <c r="I17" s="313">
        <f>'Combining FST'!M19</f>
        <v>0</v>
      </c>
      <c r="J17" s="313">
        <f>'Combining FST'!N19</f>
        <v>0</v>
      </c>
    </row>
    <row r="18" spans="1:11" ht="13.5" customHeight="1" x14ac:dyDescent="0.2">
      <c r="A18" s="828" t="s">
        <v>184</v>
      </c>
      <c r="B18" s="224"/>
      <c r="C18" s="537">
        <f>'Combining FST'!G20</f>
        <v>0</v>
      </c>
      <c r="D18" s="537">
        <f>'Combining FST'!H20</f>
        <v>0</v>
      </c>
      <c r="E18" s="537">
        <f>'Combining FST'!I20</f>
        <v>0</v>
      </c>
      <c r="F18" s="537">
        <f>'Combining FST'!J20</f>
        <v>0</v>
      </c>
      <c r="G18" s="537">
        <f>'Combining FST'!K20</f>
        <v>0</v>
      </c>
      <c r="H18" s="537">
        <f>'Combining FST'!L20</f>
        <v>0</v>
      </c>
      <c r="I18" s="537">
        <f>'Combining FST'!M20</f>
        <v>0</v>
      </c>
      <c r="J18" s="537">
        <f>'Combining FST'!N20</f>
        <v>0</v>
      </c>
    </row>
    <row r="19" spans="1:11" ht="13.5" customHeight="1" x14ac:dyDescent="0.2">
      <c r="A19" s="239"/>
      <c r="B19" s="239"/>
      <c r="C19" s="226"/>
      <c r="D19" s="226"/>
      <c r="E19" s="226"/>
      <c r="F19" s="226"/>
      <c r="G19" s="226"/>
      <c r="H19" s="238"/>
      <c r="I19" s="238"/>
      <c r="J19" s="238"/>
    </row>
    <row r="20" spans="1:11" s="828" customFormat="1" ht="100.5" hidden="1" customHeight="1" x14ac:dyDescent="0.2">
      <c r="A20" s="1109" t="s">
        <v>1660</v>
      </c>
      <c r="B20" s="1108" t="s">
        <v>59</v>
      </c>
      <c r="C20" s="1110" t="str">
        <f>IF(C17=0,"N/A","Answer Required")</f>
        <v>N/A</v>
      </c>
      <c r="D20" s="1110" t="str">
        <f t="shared" ref="D20:J20" si="0">IF(D17=0,"N/A","Answer Required")</f>
        <v>N/A</v>
      </c>
      <c r="E20" s="1110" t="str">
        <f t="shared" si="0"/>
        <v>N/A</v>
      </c>
      <c r="F20" s="1110" t="str">
        <f t="shared" si="0"/>
        <v>N/A</v>
      </c>
      <c r="G20" s="1110" t="str">
        <f t="shared" si="0"/>
        <v>N/A</v>
      </c>
      <c r="H20" s="1110" t="str">
        <f t="shared" si="0"/>
        <v>N/A</v>
      </c>
      <c r="I20" s="1110" t="str">
        <f t="shared" si="0"/>
        <v>N/A</v>
      </c>
      <c r="J20" s="1110" t="str">
        <f t="shared" si="0"/>
        <v>N/A</v>
      </c>
    </row>
    <row r="21" spans="1:11" s="828" customFormat="1" ht="13.5" hidden="1" customHeight="1" x14ac:dyDescent="0.2">
      <c r="A21" s="1043"/>
      <c r="B21" s="1043"/>
      <c r="C21" s="1044"/>
      <c r="D21" s="1044"/>
      <c r="E21" s="1044"/>
      <c r="F21" s="1044"/>
      <c r="G21" s="1044"/>
      <c r="H21" s="705"/>
      <c r="I21" s="705"/>
      <c r="J21" s="705"/>
    </row>
    <row r="22" spans="1:11" s="828" customFormat="1" ht="93.75" hidden="1" customHeight="1" x14ac:dyDescent="0.2">
      <c r="A22" s="1029" t="s">
        <v>1504</v>
      </c>
      <c r="B22" s="995" t="s">
        <v>59</v>
      </c>
      <c r="C22" s="997" t="str">
        <f>IF(C20="yes","Answer Required","N/A")</f>
        <v>N/A</v>
      </c>
      <c r="D22" s="997" t="str">
        <f t="shared" ref="D22:J22" si="1">IF(D20="yes","Answer Required","N/A")</f>
        <v>N/A</v>
      </c>
      <c r="E22" s="997" t="str">
        <f t="shared" si="1"/>
        <v>N/A</v>
      </c>
      <c r="F22" s="997" t="str">
        <f t="shared" si="1"/>
        <v>N/A</v>
      </c>
      <c r="G22" s="997" t="str">
        <f t="shared" si="1"/>
        <v>N/A</v>
      </c>
      <c r="H22" s="997" t="str">
        <f t="shared" si="1"/>
        <v>N/A</v>
      </c>
      <c r="I22" s="997" t="str">
        <f t="shared" si="1"/>
        <v>N/A</v>
      </c>
      <c r="J22" s="997" t="str">
        <f t="shared" si="1"/>
        <v>N/A</v>
      </c>
    </row>
    <row r="23" spans="1:11" s="828" customFormat="1" ht="13.5" hidden="1" customHeight="1" x14ac:dyDescent="0.2">
      <c r="A23" s="1043"/>
      <c r="B23" s="1043"/>
      <c r="C23" s="1044"/>
      <c r="D23" s="1044"/>
      <c r="E23" s="1044"/>
      <c r="F23" s="1044"/>
      <c r="G23" s="1044"/>
      <c r="H23" s="705"/>
      <c r="I23" s="705"/>
      <c r="J23" s="705"/>
    </row>
    <row r="24" spans="1:11" s="828" customFormat="1" ht="12.75" hidden="1" x14ac:dyDescent="0.2">
      <c r="A24" s="828" t="s">
        <v>1505</v>
      </c>
    </row>
    <row r="25" spans="1:11" s="828" customFormat="1" ht="12.75" hidden="1" x14ac:dyDescent="0.2">
      <c r="A25" s="1616" t="s">
        <v>989</v>
      </c>
      <c r="B25" s="1195"/>
    </row>
    <row r="26" spans="1:11" s="828" customFormat="1" ht="25.5" hidden="1" x14ac:dyDescent="0.2">
      <c r="A26" s="648" t="s">
        <v>1485</v>
      </c>
      <c r="B26" s="648" t="s">
        <v>1486</v>
      </c>
    </row>
    <row r="27" spans="1:11" s="828" customFormat="1" ht="14.1" hidden="1" customHeight="1" x14ac:dyDescent="0.2">
      <c r="A27" s="889">
        <v>2021</v>
      </c>
      <c r="B27" s="889">
        <v>2022</v>
      </c>
      <c r="C27" s="1038"/>
      <c r="D27" s="1038"/>
      <c r="E27" s="1038"/>
      <c r="F27" s="1038"/>
      <c r="G27" s="1038"/>
      <c r="H27" s="1038"/>
      <c r="I27" s="1038"/>
      <c r="J27" s="1038"/>
      <c r="K27" s="1039">
        <f t="shared" ref="K27:K32" si="2">SUM(C27:J27)</f>
        <v>0</v>
      </c>
    </row>
    <row r="28" spans="1:11" s="828" customFormat="1" ht="14.1" hidden="1" customHeight="1" x14ac:dyDescent="0.2">
      <c r="A28" s="889">
        <v>2022</v>
      </c>
      <c r="B28" s="889">
        <v>2023</v>
      </c>
      <c r="C28" s="1038"/>
      <c r="D28" s="1038"/>
      <c r="E28" s="1038"/>
      <c r="F28" s="1038"/>
      <c r="G28" s="1038"/>
      <c r="H28" s="1038"/>
      <c r="I28" s="1038"/>
      <c r="J28" s="1038"/>
      <c r="K28" s="1039">
        <f t="shared" si="2"/>
        <v>0</v>
      </c>
    </row>
    <row r="29" spans="1:11" s="828" customFormat="1" ht="14.1" hidden="1" customHeight="1" x14ac:dyDescent="0.2">
      <c r="A29" s="889">
        <v>2023</v>
      </c>
      <c r="B29" s="889">
        <v>2024</v>
      </c>
      <c r="C29" s="1038"/>
      <c r="D29" s="1038"/>
      <c r="E29" s="1038"/>
      <c r="F29" s="1038"/>
      <c r="G29" s="1038"/>
      <c r="H29" s="1038"/>
      <c r="I29" s="1038"/>
      <c r="J29" s="1038"/>
      <c r="K29" s="1039">
        <f t="shared" si="2"/>
        <v>0</v>
      </c>
    </row>
    <row r="30" spans="1:11" s="828" customFormat="1" ht="14.1" hidden="1" customHeight="1" x14ac:dyDescent="0.2">
      <c r="A30" s="889">
        <v>2024</v>
      </c>
      <c r="B30" s="889">
        <v>2025</v>
      </c>
      <c r="C30" s="1038"/>
      <c r="D30" s="1038"/>
      <c r="E30" s="1038"/>
      <c r="F30" s="1038"/>
      <c r="G30" s="1038"/>
      <c r="H30" s="1038"/>
      <c r="I30" s="1038"/>
      <c r="J30" s="1038"/>
      <c r="K30" s="1039">
        <f t="shared" si="2"/>
        <v>0</v>
      </c>
    </row>
    <row r="31" spans="1:11" s="828" customFormat="1" ht="14.1" hidden="1" customHeight="1" x14ac:dyDescent="0.2">
      <c r="A31" s="889">
        <v>2025</v>
      </c>
      <c r="B31" s="889">
        <v>2026</v>
      </c>
      <c r="C31" s="1038"/>
      <c r="D31" s="1038"/>
      <c r="E31" s="1038"/>
      <c r="F31" s="1038"/>
      <c r="G31" s="1038"/>
      <c r="H31" s="1038"/>
      <c r="I31" s="1038"/>
      <c r="J31" s="1038"/>
      <c r="K31" s="1039">
        <f t="shared" si="2"/>
        <v>0</v>
      </c>
    </row>
    <row r="32" spans="1:11" s="828" customFormat="1" ht="14.1" hidden="1" customHeight="1" x14ac:dyDescent="0.2">
      <c r="A32" s="649" t="s">
        <v>1487</v>
      </c>
      <c r="B32" s="649" t="s">
        <v>1393</v>
      </c>
      <c r="C32" s="1038"/>
      <c r="D32" s="1038"/>
      <c r="E32" s="1038"/>
      <c r="F32" s="1038"/>
      <c r="G32" s="1038"/>
      <c r="H32" s="1038"/>
      <c r="I32" s="1038"/>
      <c r="J32" s="1038"/>
      <c r="K32" s="1039">
        <f t="shared" si="2"/>
        <v>0</v>
      </c>
    </row>
    <row r="33" spans="1:11" s="828" customFormat="1" ht="14.1" hidden="1" customHeight="1" thickBot="1" x14ac:dyDescent="0.25">
      <c r="B33" s="995" t="s">
        <v>373</v>
      </c>
      <c r="C33" s="1041">
        <f t="shared" ref="C33:K33" si="3">SUM(C27:C32)</f>
        <v>0</v>
      </c>
      <c r="D33" s="1041">
        <f t="shared" si="3"/>
        <v>0</v>
      </c>
      <c r="E33" s="1041">
        <f t="shared" si="3"/>
        <v>0</v>
      </c>
      <c r="F33" s="1041">
        <f t="shared" si="3"/>
        <v>0</v>
      </c>
      <c r="G33" s="1041">
        <f t="shared" si="3"/>
        <v>0</v>
      </c>
      <c r="H33" s="1041">
        <f t="shared" si="3"/>
        <v>0</v>
      </c>
      <c r="I33" s="1041">
        <f t="shared" si="3"/>
        <v>0</v>
      </c>
      <c r="J33" s="1045">
        <f t="shared" si="3"/>
        <v>0</v>
      </c>
      <c r="K33" s="1041">
        <f t="shared" si="3"/>
        <v>0</v>
      </c>
    </row>
    <row r="34" spans="1:11" s="828" customFormat="1" ht="4.5" hidden="1" customHeight="1" thickTop="1" x14ac:dyDescent="0.2">
      <c r="C34" s="1031"/>
      <c r="D34" s="1031"/>
      <c r="E34" s="1031"/>
      <c r="F34" s="1031"/>
      <c r="G34" s="1031"/>
      <c r="H34" s="1031"/>
      <c r="I34" s="1031"/>
      <c r="J34" s="1031"/>
      <c r="K34" s="1031"/>
    </row>
    <row r="35" spans="1:11" s="828" customFormat="1" ht="4.5" hidden="1" customHeight="1" x14ac:dyDescent="0.2"/>
    <row r="36" spans="1:11" s="828" customFormat="1" ht="14.1" hidden="1" customHeight="1" x14ac:dyDescent="0.2">
      <c r="A36" s="828" t="s">
        <v>1506</v>
      </c>
      <c r="K36" s="1030" t="s">
        <v>344</v>
      </c>
    </row>
    <row r="37" spans="1:11" s="828" customFormat="1" ht="38.25" hidden="1" customHeight="1" x14ac:dyDescent="0.2">
      <c r="A37" s="1634" t="s">
        <v>1507</v>
      </c>
      <c r="B37" s="1634"/>
      <c r="C37" s="1038"/>
      <c r="D37" s="1038"/>
      <c r="E37" s="1038"/>
      <c r="F37" s="1038"/>
      <c r="G37" s="1038"/>
      <c r="H37" s="1038"/>
      <c r="I37" s="1038"/>
      <c r="J37" s="1038"/>
      <c r="K37" s="1039">
        <f>SUM(C37:J37)</f>
        <v>0</v>
      </c>
    </row>
    <row r="38" spans="1:11" ht="13.5" hidden="1" customHeight="1" x14ac:dyDescent="0.2">
      <c r="A38" s="239"/>
      <c r="B38" s="239"/>
      <c r="C38" s="239"/>
      <c r="D38" s="239"/>
      <c r="E38" s="239"/>
      <c r="F38" s="239"/>
      <c r="G38" s="239"/>
      <c r="H38" s="239"/>
      <c r="I38" s="239"/>
      <c r="J38" s="238"/>
    </row>
    <row r="39" spans="1:11" ht="13.5" customHeight="1" x14ac:dyDescent="0.2">
      <c r="A39" s="239"/>
      <c r="B39" s="239"/>
      <c r="C39" s="239"/>
      <c r="D39" s="239"/>
      <c r="E39" s="239"/>
      <c r="F39" s="239"/>
      <c r="G39" s="239"/>
      <c r="H39" s="239"/>
      <c r="I39" s="239"/>
      <c r="J39" s="238"/>
    </row>
    <row r="40" spans="1:11" ht="14.1" customHeight="1" x14ac:dyDescent="0.2">
      <c r="A40" s="829" t="s">
        <v>1665</v>
      </c>
      <c r="B40" s="134"/>
      <c r="C40" s="134"/>
      <c r="D40" s="134"/>
    </row>
    <row r="41" spans="1:11" ht="14.1" customHeight="1" x14ac:dyDescent="0.2">
      <c r="A41" s="134"/>
      <c r="B41" s="134"/>
      <c r="C41" s="134"/>
      <c r="D41" s="134"/>
    </row>
    <row r="42" spans="1:11" ht="107.25" customHeight="1" x14ac:dyDescent="0.2">
      <c r="A42" s="1025" t="s">
        <v>1666</v>
      </c>
      <c r="B42" s="159" t="s">
        <v>59</v>
      </c>
      <c r="C42" s="793" t="str">
        <f t="shared" ref="C42:J42" si="4">IF(C17=0,"N/A","Answer Required")</f>
        <v>N/A</v>
      </c>
      <c r="D42" s="998" t="str">
        <f t="shared" si="4"/>
        <v>N/A</v>
      </c>
      <c r="E42" s="793" t="str">
        <f t="shared" si="4"/>
        <v>N/A</v>
      </c>
      <c r="F42" s="793" t="str">
        <f t="shared" si="4"/>
        <v>N/A</v>
      </c>
      <c r="G42" s="793" t="str">
        <f t="shared" si="4"/>
        <v>N/A</v>
      </c>
      <c r="H42" s="793" t="str">
        <f t="shared" si="4"/>
        <v>N/A</v>
      </c>
      <c r="I42" s="793" t="str">
        <f t="shared" si="4"/>
        <v>N/A</v>
      </c>
      <c r="J42" s="793" t="str">
        <f t="shared" si="4"/>
        <v>N/A</v>
      </c>
    </row>
    <row r="43" spans="1:11" ht="22.5" customHeight="1" x14ac:dyDescent="0.2">
      <c r="A43" s="241"/>
      <c r="B43" s="159"/>
      <c r="C43" s="134"/>
      <c r="D43" s="134"/>
    </row>
    <row r="44" spans="1:11" ht="36" customHeight="1" x14ac:dyDescent="0.2">
      <c r="A44" s="1627" t="s">
        <v>1682</v>
      </c>
      <c r="B44" s="1627"/>
      <c r="C44" s="1627"/>
      <c r="D44" s="1627"/>
      <c r="E44" s="1627"/>
    </row>
    <row r="45" spans="1:11" ht="65.25" customHeight="1" x14ac:dyDescent="0.2">
      <c r="A45" s="259" t="s">
        <v>685</v>
      </c>
      <c r="B45" s="260"/>
      <c r="C45" s="304"/>
      <c r="D45" s="304"/>
      <c r="E45" s="304"/>
      <c r="F45" s="304"/>
      <c r="G45" s="304"/>
      <c r="H45" s="304"/>
      <c r="I45" s="304"/>
      <c r="J45" s="304"/>
      <c r="K45" s="240">
        <f>SUM(C45:J45)</f>
        <v>0</v>
      </c>
    </row>
    <row r="46" spans="1:11" ht="14.1" customHeight="1" x14ac:dyDescent="0.2">
      <c r="A46" s="134" t="s">
        <v>686</v>
      </c>
      <c r="B46" s="242"/>
      <c r="C46" s="242"/>
      <c r="D46" s="242"/>
      <c r="K46" s="255"/>
    </row>
    <row r="47" spans="1:11" ht="12.75" x14ac:dyDescent="0.2">
      <c r="A47" s="956"/>
      <c r="B47" s="242"/>
      <c r="C47" s="243"/>
      <c r="D47" s="243"/>
      <c r="E47" s="243"/>
      <c r="F47" s="243"/>
      <c r="G47" s="243"/>
      <c r="H47" s="243"/>
      <c r="I47" s="243"/>
      <c r="J47" s="243"/>
      <c r="K47" s="231">
        <f>SUM(C47:J47)</f>
        <v>0</v>
      </c>
    </row>
    <row r="48" spans="1:11" ht="12.75" x14ac:dyDescent="0.2">
      <c r="A48" s="1111"/>
      <c r="B48" s="242"/>
      <c r="C48" s="243"/>
      <c r="D48" s="243"/>
      <c r="E48" s="243"/>
      <c r="F48" s="243"/>
      <c r="G48" s="243"/>
      <c r="H48" s="243"/>
      <c r="I48" s="243"/>
      <c r="J48" s="243"/>
      <c r="K48" s="231">
        <f>SUM(C48:J48)</f>
        <v>0</v>
      </c>
    </row>
    <row r="49" spans="1:11" ht="12.75" x14ac:dyDescent="0.2">
      <c r="A49" s="956"/>
      <c r="B49" s="242"/>
      <c r="C49" s="243"/>
      <c r="D49" s="243"/>
      <c r="E49" s="243"/>
      <c r="F49" s="243"/>
      <c r="G49" s="243"/>
      <c r="H49" s="243"/>
      <c r="I49" s="243"/>
      <c r="J49" s="243"/>
      <c r="K49" s="231">
        <f>SUM(C49:J49)</f>
        <v>0</v>
      </c>
    </row>
    <row r="50" spans="1:11" ht="12.75" x14ac:dyDescent="0.2">
      <c r="A50" s="956"/>
      <c r="B50" s="242"/>
      <c r="C50" s="243"/>
      <c r="D50" s="243"/>
      <c r="E50" s="243"/>
      <c r="F50" s="243"/>
      <c r="G50" s="243"/>
      <c r="H50" s="243"/>
      <c r="I50" s="243"/>
      <c r="J50" s="243"/>
      <c r="K50" s="231">
        <f>SUM(C50:J50)</f>
        <v>0</v>
      </c>
    </row>
    <row r="51" spans="1:11" ht="12.75" x14ac:dyDescent="0.2">
      <c r="A51" s="956"/>
      <c r="B51" s="242"/>
      <c r="C51" s="243"/>
      <c r="D51" s="243"/>
      <c r="E51" s="243"/>
      <c r="F51" s="243"/>
      <c r="G51" s="243"/>
      <c r="H51" s="243"/>
      <c r="I51" s="243"/>
      <c r="J51" s="243"/>
      <c r="K51" s="231">
        <f>SUM(C51:J51)</f>
        <v>0</v>
      </c>
    </row>
    <row r="52" spans="1:11" ht="14.1" customHeight="1" thickBot="1" x14ac:dyDescent="0.25">
      <c r="B52" s="227" t="s">
        <v>411</v>
      </c>
      <c r="C52" s="232">
        <f>SUM(C45:C51)</f>
        <v>0</v>
      </c>
      <c r="D52" s="232">
        <f>SUM(D45:D51)</f>
        <v>0</v>
      </c>
      <c r="E52" s="232">
        <f t="shared" ref="E52:J52" si="5">SUM(E45:E51)</f>
        <v>0</v>
      </c>
      <c r="F52" s="232">
        <f t="shared" si="5"/>
        <v>0</v>
      </c>
      <c r="G52" s="232">
        <f>SUM(G45:G51)</f>
        <v>0</v>
      </c>
      <c r="H52" s="232">
        <f t="shared" si="5"/>
        <v>0</v>
      </c>
      <c r="I52" s="232">
        <f>SUM(I45:I51)</f>
        <v>0</v>
      </c>
      <c r="J52" s="303">
        <f t="shared" si="5"/>
        <v>0</v>
      </c>
      <c r="K52" s="231">
        <f>SUM(K45:K51)</f>
        <v>0</v>
      </c>
    </row>
    <row r="53" spans="1:11" ht="14.1" customHeight="1" thickTop="1" x14ac:dyDescent="0.2"/>
    <row r="56" spans="1:11" ht="14.1" hidden="1" customHeight="1" x14ac:dyDescent="0.2">
      <c r="A56" s="58" t="s">
        <v>375</v>
      </c>
    </row>
    <row r="57" spans="1:11" ht="14.1" hidden="1" customHeight="1" x14ac:dyDescent="0.2">
      <c r="A57" s="58" t="s">
        <v>155</v>
      </c>
    </row>
    <row r="58" spans="1:11" ht="14.1" hidden="1" customHeight="1" x14ac:dyDescent="0.2">
      <c r="A58" s="58" t="s">
        <v>156</v>
      </c>
    </row>
    <row r="59" spans="1:11" ht="14.1" hidden="1" customHeight="1" x14ac:dyDescent="0.2">
      <c r="A59" s="828" t="s">
        <v>380</v>
      </c>
    </row>
  </sheetData>
  <sheetProtection algorithmName="SHA-512" hashValue="x/9ADCFriWR11B2S69dZP2txxHj/uZ2r9cm3zox0iCV8lsTGYWbVahd4WfuC1405b7ISp3HqekMQt+QTsDQ8tg==" saltValue="gaZpNCJRQXCBuOaSQEK6FA==" spinCount="100000" sheet="1" objects="1" scenarios="1"/>
  <mergeCells count="12">
    <mergeCell ref="A44:E44"/>
    <mergeCell ref="C1:F1"/>
    <mergeCell ref="A10:F10"/>
    <mergeCell ref="C2:F2"/>
    <mergeCell ref="C3:F3"/>
    <mergeCell ref="C4:F4"/>
    <mergeCell ref="C5:F5"/>
    <mergeCell ref="C6:F6"/>
    <mergeCell ref="A11:K11"/>
    <mergeCell ref="A25:B25"/>
    <mergeCell ref="A37:B37"/>
    <mergeCell ref="A9:F9"/>
  </mergeCells>
  <phoneticPr fontId="12" type="noConversion"/>
  <conditionalFormatting sqref="A11">
    <cfRule type="cellIs" dxfId="18" priority="3" operator="equal">
      <formula>"Answer Required"</formula>
    </cfRule>
  </conditionalFormatting>
  <conditionalFormatting sqref="A1:XFD10 L11:XFD11 A44 F44:XFD44 A45:XFD1048576">
    <cfRule type="cellIs" dxfId="17" priority="8" operator="equal">
      <formula>"Answer Required"</formula>
    </cfRule>
  </conditionalFormatting>
  <conditionalFormatting sqref="A12:XFD43">
    <cfRule type="cellIs" dxfId="16" priority="1" operator="equal">
      <formula>"Answer Required"</formula>
    </cfRule>
  </conditionalFormatting>
  <dataValidations count="6">
    <dataValidation type="whole" allowBlank="1" showInputMessage="1" showErrorMessage="1" error="Enter whole number." sqref="C45:J45 C47:J51" xr:uid="{00000000-0002-0000-1800-000000000000}">
      <formula1>-10000000000000000</formula1>
      <formula2>10000000000000000</formula2>
    </dataValidation>
    <dataValidation type="list" allowBlank="1" showInputMessage="1" showErrorMessage="1" error="Enter yes, no, or n/a." sqref="C42:J42" xr:uid="{00000000-0002-0000-1800-000001000000}">
      <formula1>$A$57:$A$59</formula1>
    </dataValidation>
    <dataValidation allowBlank="1" showInputMessage="1" showErrorMessage="1" error="Enter yes or no." sqref="A59" xr:uid="{00000000-0002-0000-1800-000002000000}"/>
    <dataValidation type="whole" allowBlank="1" showInputMessage="1" showErrorMessage="1" error="Enter a 3-digit agency control number." sqref="C1:F1" xr:uid="{00000000-0002-0000-1800-000003000000}">
      <formula1>100</formula1>
      <formula2>999</formula2>
    </dataValidation>
    <dataValidation type="list" allowBlank="1" showInputMessage="1" showErrorMessage="1" error="Enter yes, no, or n/a" sqref="C20:J20 C22:J22" xr:uid="{00000000-0002-0000-1800-000004000000}">
      <formula1>$A$57:$A$59</formula1>
    </dataValidation>
    <dataValidation type="whole" allowBlank="1" showInputMessage="1" showErrorMessage="1" error="Enter whole number." sqref="C27:J32 C37:J37" xr:uid="{00000000-0002-0000-1800-000005000000}">
      <formula1>-10000000000000000</formula1>
      <formula2>1000000000000000</formula2>
    </dataValidation>
  </dataValidations>
  <pageMargins left="0.7" right="0.7" top="1" bottom="0.75" header="0.3" footer="0.3"/>
  <pageSetup paperSize="5" scale="55" fitToHeight="2" orientation="landscape" r:id="rId1"/>
  <headerFooter alignWithMargins="0">
    <oddHeader xml:space="preserve">&amp;C&amp;"Arial,Bold"Attachment HE-10
Financial Statement Template
&amp;A
</oddHeader>
    <oddFooter>&amp;L&amp;"Arial,Regular"&amp;F \ &amp;A&amp;R&amp;"Arial,Regular"Page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80"/>
  <sheetViews>
    <sheetView showGridLines="0" zoomScale="90" zoomScaleNormal="90" zoomScaleSheetLayoutView="75" workbookViewId="0">
      <pane xSplit="2" ySplit="15" topLeftCell="C16" activePane="bottomRight" state="frozen"/>
      <selection pane="topRight" activeCell="C1" sqref="C1"/>
      <selection pane="bottomLeft" activeCell="A16" sqref="A16"/>
      <selection pane="bottomRight"/>
    </sheetView>
  </sheetViews>
  <sheetFormatPr defaultColWidth="10.6640625" defaultRowHeight="12.75" x14ac:dyDescent="0.2"/>
  <cols>
    <col min="1" max="1" width="32.5" style="58" customWidth="1"/>
    <col min="2" max="2" width="11.33203125" style="58" customWidth="1"/>
    <col min="3" max="10" width="16.83203125" style="58" customWidth="1"/>
    <col min="11" max="11" width="10.6640625" style="58" customWidth="1"/>
    <col min="12" max="12" width="16.5" style="58" customWidth="1"/>
    <col min="13" max="16384" width="10.6640625" style="58"/>
  </cols>
  <sheetData>
    <row r="1" spans="1:11" x14ac:dyDescent="0.2">
      <c r="A1" s="824" t="s">
        <v>1155</v>
      </c>
      <c r="C1" s="1546">
        <f>FST!E1</f>
        <v>0</v>
      </c>
      <c r="D1" s="1651"/>
      <c r="E1" s="1651"/>
      <c r="F1" s="1651"/>
    </row>
    <row r="2" spans="1:11" s="33" customFormat="1" ht="37.5" customHeight="1" x14ac:dyDescent="0.2">
      <c r="A2" s="824" t="s">
        <v>770</v>
      </c>
      <c r="B2" s="31"/>
      <c r="C2" s="1546" t="str">
        <f>FST!E2</f>
        <v/>
      </c>
      <c r="D2" s="1651"/>
      <c r="E2" s="1651"/>
      <c r="F2" s="1651"/>
      <c r="G2" s="835"/>
      <c r="H2" s="285"/>
      <c r="I2" s="285"/>
      <c r="J2" s="285"/>
    </row>
    <row r="3" spans="1:11" s="33" customFormat="1" x14ac:dyDescent="0.2">
      <c r="A3" s="824" t="s">
        <v>771</v>
      </c>
      <c r="B3" s="220"/>
      <c r="C3" s="1556">
        <f>FST!E3</f>
        <v>0</v>
      </c>
      <c r="D3" s="1657"/>
      <c r="E3" s="1657"/>
      <c r="F3" s="1657"/>
      <c r="G3" s="835"/>
      <c r="H3" s="285"/>
      <c r="I3" s="285"/>
      <c r="J3" s="285"/>
    </row>
    <row r="4" spans="1:11" s="33" customFormat="1" x14ac:dyDescent="0.2">
      <c r="A4" s="824" t="s">
        <v>773</v>
      </c>
      <c r="B4" s="220"/>
      <c r="C4" s="1558">
        <f>FST!E4</f>
        <v>0</v>
      </c>
      <c r="D4" s="1658"/>
      <c r="E4" s="1658"/>
      <c r="F4" s="1658"/>
      <c r="G4" s="835"/>
      <c r="H4" s="285"/>
      <c r="I4" s="285"/>
      <c r="J4" s="285"/>
    </row>
    <row r="5" spans="1:11" s="33" customFormat="1" x14ac:dyDescent="0.2">
      <c r="A5" s="825" t="s">
        <v>774</v>
      </c>
      <c r="B5" s="220"/>
      <c r="C5" s="1556">
        <f>FST!E5</f>
        <v>0</v>
      </c>
      <c r="D5" s="1657"/>
      <c r="E5" s="1657"/>
      <c r="F5" s="1657"/>
      <c r="G5" s="835"/>
      <c r="H5" s="285"/>
      <c r="I5" s="285"/>
      <c r="J5" s="285"/>
    </row>
    <row r="6" spans="1:11" s="33" customFormat="1" x14ac:dyDescent="0.2">
      <c r="A6" s="826" t="s">
        <v>775</v>
      </c>
      <c r="B6" s="220"/>
      <c r="C6" s="1553">
        <f>FST!E6</f>
        <v>0</v>
      </c>
      <c r="D6" s="1659"/>
      <c r="E6" s="1659"/>
      <c r="F6" s="1659"/>
      <c r="G6" s="835"/>
      <c r="H6" s="286"/>
      <c r="I6" s="286"/>
      <c r="J6" s="286"/>
    </row>
    <row r="7" spans="1:11" s="33" customFormat="1" ht="12" x14ac:dyDescent="0.2">
      <c r="A7" s="67" t="s">
        <v>159</v>
      </c>
      <c r="B7" s="34"/>
    </row>
    <row r="8" spans="1:11" s="33" customFormat="1" ht="12" x14ac:dyDescent="0.2">
      <c r="A8" s="827"/>
      <c r="B8" s="34"/>
    </row>
    <row r="9" spans="1:11" s="33" customFormat="1" ht="12" x14ac:dyDescent="0.2">
      <c r="A9" s="827"/>
      <c r="B9" s="34"/>
    </row>
    <row r="10" spans="1:11" s="33" customFormat="1" x14ac:dyDescent="0.2">
      <c r="A10" s="1263" t="s">
        <v>53</v>
      </c>
      <c r="B10" s="1640"/>
      <c r="C10" s="1640"/>
      <c r="D10" s="1640"/>
      <c r="E10" s="1640"/>
      <c r="F10" s="1640"/>
      <c r="G10" s="976"/>
      <c r="H10" s="976"/>
      <c r="I10" s="976"/>
      <c r="J10" s="976"/>
      <c r="K10" s="976"/>
    </row>
    <row r="11" spans="1:11" s="33" customFormat="1" ht="24.75" customHeight="1" x14ac:dyDescent="0.2">
      <c r="A11" s="1271" t="s">
        <v>1364</v>
      </c>
      <c r="B11" s="1641"/>
      <c r="C11" s="1641"/>
      <c r="D11" s="1641"/>
      <c r="E11" s="1641"/>
      <c r="F11" s="1641"/>
    </row>
    <row r="12" spans="1:11" s="33" customFormat="1" ht="15" customHeight="1" x14ac:dyDescent="0.2">
      <c r="A12" s="870"/>
      <c r="B12" s="836"/>
      <c r="C12" s="836"/>
      <c r="D12" s="836"/>
      <c r="E12" s="836"/>
      <c r="F12" s="836"/>
      <c r="G12" s="36"/>
      <c r="H12" s="36"/>
      <c r="I12" s="36"/>
      <c r="J12" s="36"/>
    </row>
    <row r="13" spans="1:11" s="222" customFormat="1" x14ac:dyDescent="0.2">
      <c r="B13" s="223"/>
    </row>
    <row r="14" spans="1:11" ht="57.95" customHeight="1" x14ac:dyDescent="0.2">
      <c r="A14" s="58" t="s">
        <v>54</v>
      </c>
      <c r="B14" s="224"/>
      <c r="C14" s="313">
        <f>'Combining FST'!G19</f>
        <v>0</v>
      </c>
      <c r="D14" s="313">
        <f>'Combining FST'!H19</f>
        <v>0</v>
      </c>
      <c r="E14" s="313">
        <f>'Combining FST'!I19</f>
        <v>0</v>
      </c>
      <c r="F14" s="313">
        <f>'Combining FST'!J19</f>
        <v>0</v>
      </c>
      <c r="G14" s="313">
        <f>'Combining FST'!K19</f>
        <v>0</v>
      </c>
      <c r="H14" s="313">
        <f>'Combining FST'!L19</f>
        <v>0</v>
      </c>
      <c r="I14" s="313">
        <f>'Combining FST'!M19</f>
        <v>0</v>
      </c>
      <c r="J14" s="313">
        <f>'Combining FST'!N19</f>
        <v>0</v>
      </c>
    </row>
    <row r="15" spans="1:11" x14ac:dyDescent="0.2">
      <c r="A15" s="828" t="s">
        <v>184</v>
      </c>
      <c r="B15" s="224"/>
      <c r="C15" s="537">
        <f>'Combining FST'!G20</f>
        <v>0</v>
      </c>
      <c r="D15" s="537">
        <f>'Combining FST'!H20</f>
        <v>0</v>
      </c>
      <c r="E15" s="537">
        <f>'Combining FST'!I20</f>
        <v>0</v>
      </c>
      <c r="F15" s="537">
        <f>'Combining FST'!J20</f>
        <v>0</v>
      </c>
      <c r="G15" s="537">
        <f>'Combining FST'!K20</f>
        <v>0</v>
      </c>
      <c r="H15" s="537">
        <f>'Combining FST'!L20</f>
        <v>0</v>
      </c>
      <c r="I15" s="537">
        <f>'Combining FST'!M20</f>
        <v>0</v>
      </c>
      <c r="J15" s="537">
        <f>'Combining FST'!N20</f>
        <v>0</v>
      </c>
    </row>
    <row r="16" spans="1:11" s="222" customFormat="1" x14ac:dyDescent="0.2">
      <c r="A16" s="833"/>
      <c r="B16" s="223"/>
    </row>
    <row r="17" spans="1:10" s="222" customFormat="1" x14ac:dyDescent="0.2">
      <c r="A17" s="228" t="s">
        <v>456</v>
      </c>
      <c r="B17" s="223"/>
    </row>
    <row r="18" spans="1:10" s="222" customFormat="1" ht="7.5" customHeight="1" x14ac:dyDescent="0.2">
      <c r="A18" s="225"/>
      <c r="B18" s="223"/>
    </row>
    <row r="19" spans="1:10" s="222" customFormat="1" ht="25.5" x14ac:dyDescent="0.2">
      <c r="A19" s="855" t="s">
        <v>840</v>
      </c>
      <c r="B19" s="223" t="s">
        <v>59</v>
      </c>
      <c r="C19" s="675" t="str">
        <f>IF(C14=0,"N/A","Answer Required")</f>
        <v>N/A</v>
      </c>
      <c r="D19" s="675" t="str">
        <f t="shared" ref="D19:J19" si="0">IF(D14=0,"N/A","Answer Required")</f>
        <v>N/A</v>
      </c>
      <c r="E19" s="675" t="str">
        <f t="shared" si="0"/>
        <v>N/A</v>
      </c>
      <c r="F19" s="675" t="str">
        <f t="shared" si="0"/>
        <v>N/A</v>
      </c>
      <c r="G19" s="675" t="str">
        <f t="shared" si="0"/>
        <v>N/A</v>
      </c>
      <c r="H19" s="675" t="str">
        <f t="shared" si="0"/>
        <v>N/A</v>
      </c>
      <c r="I19" s="675" t="str">
        <f t="shared" si="0"/>
        <v>N/A</v>
      </c>
      <c r="J19" s="675" t="str">
        <f t="shared" si="0"/>
        <v>N/A</v>
      </c>
    </row>
    <row r="20" spans="1:10" s="222" customFormat="1" ht="45.75" customHeight="1" x14ac:dyDescent="0.2">
      <c r="A20" s="1642" t="s">
        <v>841</v>
      </c>
      <c r="B20" s="1162"/>
      <c r="C20" s="1162"/>
      <c r="D20" s="1162"/>
      <c r="E20" s="1162"/>
      <c r="F20" s="1162"/>
      <c r="G20" s="1162"/>
      <c r="H20" s="1162"/>
      <c r="I20" s="1162"/>
      <c r="J20" s="1162"/>
    </row>
    <row r="21" spans="1:10" s="222" customFormat="1" ht="24.75" customHeight="1" x14ac:dyDescent="0.2">
      <c r="A21" s="855" t="s">
        <v>842</v>
      </c>
      <c r="B21" s="803"/>
      <c r="C21" s="803"/>
      <c r="D21" s="803"/>
      <c r="E21" s="803"/>
      <c r="F21" s="803"/>
      <c r="G21" s="803"/>
      <c r="H21" s="803"/>
      <c r="I21" s="803"/>
      <c r="J21" s="803"/>
    </row>
    <row r="22" spans="1:10" s="222" customFormat="1" ht="59.25" customHeight="1" x14ac:dyDescent="0.2">
      <c r="A22" s="1564" t="str">
        <f>IF(OR(C19="No",D19="No",E19="No",F19="No",G19="No",H19="No",I19="No",J19="No"),"Answer Required","N/A")</f>
        <v>N/A</v>
      </c>
      <c r="B22" s="1643"/>
      <c r="C22" s="1643"/>
      <c r="D22" s="1643"/>
      <c r="E22" s="1643"/>
      <c r="F22" s="1643"/>
      <c r="G22" s="1643"/>
      <c r="H22" s="1643"/>
      <c r="I22" s="1643"/>
      <c r="J22" s="1644"/>
    </row>
    <row r="23" spans="1:10" s="222" customFormat="1" x14ac:dyDescent="0.2">
      <c r="A23" s="225"/>
      <c r="B23" s="223"/>
    </row>
    <row r="24" spans="1:10" s="222" customFormat="1" ht="92.25" customHeight="1" x14ac:dyDescent="0.2">
      <c r="A24" s="855" t="s">
        <v>843</v>
      </c>
      <c r="B24" s="223" t="s">
        <v>59</v>
      </c>
      <c r="C24" s="675" t="str">
        <f>IF(C14=0,"N/A","Answer Required")</f>
        <v>N/A</v>
      </c>
      <c r="D24" s="675" t="str">
        <f t="shared" ref="D24:J24" si="1">IF(D14=0,"N/A","Answer Required")</f>
        <v>N/A</v>
      </c>
      <c r="E24" s="675" t="str">
        <f t="shared" si="1"/>
        <v>N/A</v>
      </c>
      <c r="F24" s="675" t="str">
        <f t="shared" si="1"/>
        <v>N/A</v>
      </c>
      <c r="G24" s="675" t="str">
        <f t="shared" si="1"/>
        <v>N/A</v>
      </c>
      <c r="H24" s="675" t="str">
        <f t="shared" si="1"/>
        <v>N/A</v>
      </c>
      <c r="I24" s="675" t="str">
        <f t="shared" si="1"/>
        <v>N/A</v>
      </c>
      <c r="J24" s="675" t="str">
        <f t="shared" si="1"/>
        <v>N/A</v>
      </c>
    </row>
    <row r="25" spans="1:10" s="222" customFormat="1" ht="39.75" customHeight="1" x14ac:dyDescent="0.2">
      <c r="A25" s="834" t="s">
        <v>961</v>
      </c>
      <c r="B25" s="803"/>
      <c r="C25" s="803"/>
      <c r="D25" s="803"/>
      <c r="E25" s="803"/>
      <c r="F25" s="803"/>
      <c r="G25" s="803"/>
      <c r="H25" s="803"/>
      <c r="I25" s="803"/>
      <c r="J25" s="803"/>
    </row>
    <row r="26" spans="1:10" s="222" customFormat="1" ht="82.5" customHeight="1" x14ac:dyDescent="0.2">
      <c r="A26" s="1564" t="str">
        <f>IF(OR(C24="No",D24="No",E24="No",F24="No",G24="No",H24="No",I24="No",J24="No"),"Answer Required","N/A")</f>
        <v>N/A</v>
      </c>
      <c r="B26" s="1643"/>
      <c r="C26" s="1643"/>
      <c r="D26" s="1643"/>
      <c r="E26" s="1643"/>
      <c r="F26" s="1643"/>
      <c r="G26" s="1643"/>
      <c r="H26" s="1643"/>
      <c r="I26" s="1643"/>
      <c r="J26" s="1644"/>
    </row>
    <row r="27" spans="1:10" s="222" customFormat="1" hidden="1" x14ac:dyDescent="0.2">
      <c r="A27" s="833"/>
      <c r="B27" s="223"/>
    </row>
    <row r="28" spans="1:10" s="372" customFormat="1" hidden="1" x14ac:dyDescent="0.2">
      <c r="A28" s="370" t="s">
        <v>457</v>
      </c>
      <c r="B28" s="371"/>
    </row>
    <row r="29" spans="1:10" s="372" customFormat="1" ht="25.5" hidden="1" x14ac:dyDescent="0.2">
      <c r="A29" s="373" t="s">
        <v>458</v>
      </c>
      <c r="B29" s="371"/>
      <c r="C29" s="374"/>
      <c r="D29" s="374"/>
      <c r="E29" s="374"/>
      <c r="F29" s="374"/>
      <c r="G29" s="374"/>
      <c r="H29" s="374"/>
      <c r="I29" s="374"/>
      <c r="J29" s="374"/>
    </row>
    <row r="30" spans="1:10" s="372" customFormat="1" ht="25.5" hidden="1" x14ac:dyDescent="0.2">
      <c r="A30" s="373" t="s">
        <v>75</v>
      </c>
      <c r="B30" s="371"/>
      <c r="C30" s="374"/>
      <c r="D30" s="374"/>
      <c r="E30" s="374"/>
      <c r="F30" s="374"/>
      <c r="G30" s="374"/>
      <c r="H30" s="374"/>
      <c r="I30" s="374"/>
      <c r="J30" s="374"/>
    </row>
    <row r="31" spans="1:10" hidden="1" x14ac:dyDescent="0.2"/>
    <row r="32" spans="1:10" ht="22.5" customHeight="1" x14ac:dyDescent="0.2">
      <c r="A32" s="829" t="s">
        <v>791</v>
      </c>
    </row>
    <row r="33" spans="1:13" x14ac:dyDescent="0.2">
      <c r="A33" s="58" t="s">
        <v>782</v>
      </c>
    </row>
    <row r="34" spans="1:13" s="542" customFormat="1" ht="30.75" customHeight="1" x14ac:dyDescent="0.2">
      <c r="A34" s="807" t="s">
        <v>1257</v>
      </c>
    </row>
    <row r="35" spans="1:13" ht="53.25" customHeight="1" x14ac:dyDescent="0.2">
      <c r="A35" s="238" t="s">
        <v>137</v>
      </c>
      <c r="B35" s="58" t="s">
        <v>138</v>
      </c>
      <c r="C35" s="675" t="str">
        <f>IF(C37=0,"N/A","Answer Required")</f>
        <v>N/A</v>
      </c>
      <c r="D35" s="769" t="str">
        <f t="shared" ref="D35:J35" si="2">IF(D37=0,"N/A","Answer Required")</f>
        <v>N/A</v>
      </c>
      <c r="E35" s="769" t="str">
        <f t="shared" si="2"/>
        <v>N/A</v>
      </c>
      <c r="F35" s="769" t="str">
        <f t="shared" si="2"/>
        <v>N/A</v>
      </c>
      <c r="G35" s="769" t="str">
        <f t="shared" si="2"/>
        <v>N/A</v>
      </c>
      <c r="H35" s="769" t="str">
        <f t="shared" si="2"/>
        <v>N/A</v>
      </c>
      <c r="I35" s="769" t="str">
        <f t="shared" si="2"/>
        <v>N/A</v>
      </c>
      <c r="J35" s="769" t="str">
        <f t="shared" si="2"/>
        <v>N/A</v>
      </c>
    </row>
    <row r="36" spans="1:13" ht="60" customHeight="1" x14ac:dyDescent="0.2">
      <c r="A36" s="238" t="s">
        <v>139</v>
      </c>
      <c r="B36" s="58" t="s">
        <v>138</v>
      </c>
      <c r="C36" s="769" t="str">
        <f>IF(C37=0,"N/A","Answer Required")</f>
        <v>N/A</v>
      </c>
      <c r="D36" s="769" t="str">
        <f t="shared" ref="D36:J36" si="3">IF(D37=0,"N/A","Answer Required")</f>
        <v>N/A</v>
      </c>
      <c r="E36" s="769" t="str">
        <f t="shared" si="3"/>
        <v>N/A</v>
      </c>
      <c r="F36" s="769" t="str">
        <f t="shared" si="3"/>
        <v>N/A</v>
      </c>
      <c r="G36" s="769" t="str">
        <f t="shared" si="3"/>
        <v>N/A</v>
      </c>
      <c r="H36" s="769" t="str">
        <f t="shared" si="3"/>
        <v>N/A</v>
      </c>
      <c r="I36" s="769" t="str">
        <f t="shared" si="3"/>
        <v>N/A</v>
      </c>
      <c r="J36" s="769" t="str">
        <f t="shared" si="3"/>
        <v>N/A</v>
      </c>
    </row>
    <row r="37" spans="1:13" ht="27" customHeight="1" x14ac:dyDescent="0.2">
      <c r="A37" s="1645" t="s">
        <v>844</v>
      </c>
      <c r="B37" s="1646"/>
      <c r="C37" s="857">
        <f>SUM('Combining FST'!G40:G43)</f>
        <v>0</v>
      </c>
      <c r="D37" s="857">
        <f>SUM('Combining FST'!H40:H43)</f>
        <v>0</v>
      </c>
      <c r="E37" s="857">
        <f>SUM('Combining FST'!I40:I43)</f>
        <v>0</v>
      </c>
      <c r="F37" s="857">
        <f>SUM('Combining FST'!J40:J43)</f>
        <v>0</v>
      </c>
      <c r="G37" s="857">
        <f>SUM('Combining FST'!K40:K43)</f>
        <v>0</v>
      </c>
      <c r="H37" s="857">
        <f>SUM('Combining FST'!L40:L43)</f>
        <v>0</v>
      </c>
      <c r="I37" s="857">
        <f>SUM('Combining FST'!M40:M43)</f>
        <v>0</v>
      </c>
      <c r="J37" s="857">
        <f>SUM('Combining FST'!N40:N43)</f>
        <v>0</v>
      </c>
    </row>
    <row r="38" spans="1:13" ht="27" customHeight="1" x14ac:dyDescent="0.2">
      <c r="A38" s="653"/>
    </row>
    <row r="39" spans="1:13" x14ac:dyDescent="0.2">
      <c r="A39" s="829" t="s">
        <v>792</v>
      </c>
    </row>
    <row r="40" spans="1:13" ht="38.25" x14ac:dyDescent="0.2">
      <c r="A40" s="705" t="s">
        <v>1006</v>
      </c>
      <c r="B40" s="58" t="s">
        <v>138</v>
      </c>
      <c r="C40" s="830" t="str">
        <f>IF(C14=0,"N/A","Answer Required")</f>
        <v>N/A</v>
      </c>
      <c r="D40" s="830" t="str">
        <f t="shared" ref="D40:E40" si="4">IF(D14=0,"N/A","Answer Required")</f>
        <v>N/A</v>
      </c>
      <c r="E40" s="830" t="str">
        <f t="shared" si="4"/>
        <v>N/A</v>
      </c>
      <c r="F40" s="61" t="str">
        <f t="shared" ref="F40:J40" si="5">IF(F14=0,"N/A","Answer Required")</f>
        <v>N/A</v>
      </c>
      <c r="G40" s="61" t="str">
        <f t="shared" si="5"/>
        <v>N/A</v>
      </c>
      <c r="H40" s="61" t="str">
        <f t="shared" si="5"/>
        <v>N/A</v>
      </c>
      <c r="I40" s="61" t="str">
        <f t="shared" si="5"/>
        <v>N/A</v>
      </c>
      <c r="J40" s="830" t="str">
        <f t="shared" si="5"/>
        <v>N/A</v>
      </c>
    </row>
    <row r="41" spans="1:13" ht="34.5" customHeight="1" x14ac:dyDescent="0.2">
      <c r="A41" s="1645" t="s">
        <v>845</v>
      </c>
      <c r="B41" s="1646"/>
      <c r="C41" s="857">
        <f>SUM('Combining FST'!G90,'Combining FST'!G103)</f>
        <v>0</v>
      </c>
      <c r="D41" s="857">
        <f>SUM('Combining FST'!H90,'Combining FST'!H103)</f>
        <v>0</v>
      </c>
      <c r="E41" s="857">
        <f>SUM('Combining FST'!I90,'Combining FST'!I103)</f>
        <v>0</v>
      </c>
      <c r="F41" s="857">
        <f>SUM('Combining FST'!J90,'Combining FST'!J103)</f>
        <v>0</v>
      </c>
      <c r="G41" s="857">
        <f>SUM('Combining FST'!K90,'Combining FST'!K103)</f>
        <v>0</v>
      </c>
      <c r="H41" s="857">
        <f>SUM('Combining FST'!L90,'Combining FST'!L103)</f>
        <v>0</v>
      </c>
      <c r="I41" s="857">
        <f>SUM('Combining FST'!M90,'Combining FST'!M103)</f>
        <v>0</v>
      </c>
      <c r="J41" s="857">
        <f>SUM('Combining FST'!N90,'Combining FST'!N103)</f>
        <v>0</v>
      </c>
    </row>
    <row r="42" spans="1:13" x14ac:dyDescent="0.2">
      <c r="A42" s="705"/>
      <c r="B42" s="705"/>
      <c r="C42" s="978" t="s">
        <v>636</v>
      </c>
      <c r="D42" s="978" t="s">
        <v>636</v>
      </c>
      <c r="E42" s="978" t="s">
        <v>636</v>
      </c>
      <c r="F42" s="978" t="s">
        <v>636</v>
      </c>
      <c r="G42" s="978" t="s">
        <v>636</v>
      </c>
      <c r="H42" s="978" t="s">
        <v>636</v>
      </c>
      <c r="I42" s="978" t="s">
        <v>636</v>
      </c>
      <c r="J42" s="978" t="s">
        <v>636</v>
      </c>
    </row>
    <row r="43" spans="1:13" ht="65.25" customHeight="1" x14ac:dyDescent="0.2">
      <c r="A43" s="1653" t="s">
        <v>1018</v>
      </c>
      <c r="B43" s="1653"/>
      <c r="C43" s="1653"/>
      <c r="D43" s="1653"/>
      <c r="E43" s="1653"/>
      <c r="F43" s="1653"/>
      <c r="H43" s="1654" t="s">
        <v>1019</v>
      </c>
      <c r="I43" s="1654"/>
      <c r="J43" s="1654"/>
      <c r="K43" s="705"/>
      <c r="L43" s="705"/>
      <c r="M43" s="705"/>
    </row>
    <row r="44" spans="1:13" ht="52.5" customHeight="1" x14ac:dyDescent="0.2">
      <c r="A44" s="1652"/>
      <c r="B44" s="1652"/>
      <c r="C44" s="1652"/>
      <c r="D44" s="1652"/>
      <c r="E44" s="1652"/>
      <c r="F44" s="1652"/>
      <c r="H44" s="1654"/>
      <c r="I44" s="1654"/>
      <c r="J44" s="1654"/>
    </row>
    <row r="45" spans="1:13" x14ac:dyDescent="0.2">
      <c r="H45" s="744"/>
      <c r="I45" s="744"/>
      <c r="J45" s="744"/>
    </row>
    <row r="47" spans="1:13" s="346" customFormat="1" hidden="1" x14ac:dyDescent="0.2">
      <c r="A47" s="366" t="s">
        <v>140</v>
      </c>
    </row>
    <row r="48" spans="1:13" s="346" customFormat="1" ht="52.5" hidden="1" customHeight="1" x14ac:dyDescent="0.2">
      <c r="A48" s="367" t="s">
        <v>141</v>
      </c>
      <c r="B48" s="346" t="s">
        <v>59</v>
      </c>
      <c r="C48" s="375"/>
      <c r="D48" s="375"/>
      <c r="E48" s="375"/>
      <c r="F48" s="375"/>
      <c r="G48" s="375"/>
      <c r="H48" s="375"/>
      <c r="I48" s="375"/>
      <c r="J48" s="375"/>
    </row>
    <row r="49" spans="1:10" s="346" customFormat="1" ht="63.75" hidden="1" x14ac:dyDescent="0.2">
      <c r="A49" s="367" t="s">
        <v>142</v>
      </c>
      <c r="B49" s="346" t="s">
        <v>59</v>
      </c>
      <c r="C49" s="375"/>
      <c r="D49" s="375"/>
      <c r="E49" s="375"/>
      <c r="F49" s="375"/>
      <c r="G49" s="375"/>
      <c r="H49" s="375"/>
      <c r="I49" s="375"/>
      <c r="J49" s="375"/>
    </row>
    <row r="50" spans="1:10" s="346" customFormat="1" ht="38.25" hidden="1" x14ac:dyDescent="0.2">
      <c r="A50" s="367" t="s">
        <v>780</v>
      </c>
      <c r="C50" s="349"/>
      <c r="D50" s="349"/>
      <c r="E50" s="349"/>
      <c r="F50" s="349"/>
      <c r="G50" s="349"/>
      <c r="H50" s="349"/>
      <c r="I50" s="349"/>
      <c r="J50" s="349"/>
    </row>
    <row r="51" spans="1:10" s="346" customFormat="1" ht="63.75" hidden="1" x14ac:dyDescent="0.2">
      <c r="A51" s="367" t="s">
        <v>96</v>
      </c>
      <c r="B51" s="346" t="s">
        <v>59</v>
      </c>
      <c r="C51" s="356"/>
      <c r="D51" s="356"/>
      <c r="E51" s="356"/>
      <c r="F51" s="356"/>
      <c r="G51" s="356"/>
      <c r="H51" s="356"/>
      <c r="I51" s="356"/>
      <c r="J51" s="356"/>
    </row>
    <row r="52" spans="1:10" s="346" customFormat="1" hidden="1" x14ac:dyDescent="0.2"/>
    <row r="53" spans="1:10" s="346" customFormat="1" hidden="1" x14ac:dyDescent="0.2">
      <c r="A53" s="366" t="s">
        <v>189</v>
      </c>
    </row>
    <row r="54" spans="1:10" s="346" customFormat="1" ht="38.25" hidden="1" x14ac:dyDescent="0.2">
      <c r="A54" s="367" t="s">
        <v>789</v>
      </c>
      <c r="B54" s="346" t="s">
        <v>59</v>
      </c>
      <c r="C54" s="375"/>
      <c r="D54" s="375"/>
      <c r="E54" s="375"/>
      <c r="F54" s="375"/>
      <c r="G54" s="375"/>
      <c r="H54" s="375"/>
      <c r="I54" s="375"/>
      <c r="J54" s="375"/>
    </row>
    <row r="55" spans="1:10" s="346" customFormat="1" ht="38.25" hidden="1" x14ac:dyDescent="0.2">
      <c r="A55" s="367" t="s">
        <v>551</v>
      </c>
      <c r="C55" s="349"/>
      <c r="D55" s="349"/>
      <c r="E55" s="349"/>
      <c r="F55" s="349"/>
      <c r="G55" s="349"/>
      <c r="H55" s="349"/>
      <c r="I55" s="349"/>
      <c r="J55" s="349"/>
    </row>
    <row r="56" spans="1:10" s="346" customFormat="1" hidden="1" x14ac:dyDescent="0.2"/>
    <row r="57" spans="1:10" s="346" customFormat="1" hidden="1" x14ac:dyDescent="0.2">
      <c r="A57" s="366" t="s">
        <v>661</v>
      </c>
    </row>
    <row r="58" spans="1:10" s="346" customFormat="1" ht="51" hidden="1" x14ac:dyDescent="0.2">
      <c r="A58" s="367" t="s">
        <v>552</v>
      </c>
      <c r="B58" s="346" t="s">
        <v>59</v>
      </c>
      <c r="C58" s="375"/>
      <c r="D58" s="375"/>
      <c r="E58" s="375"/>
      <c r="F58" s="375"/>
      <c r="G58" s="375"/>
      <c r="H58" s="375"/>
      <c r="I58" s="375"/>
      <c r="J58" s="375"/>
    </row>
    <row r="59" spans="1:10" s="346" customFormat="1" hidden="1" x14ac:dyDescent="0.2">
      <c r="A59" s="367"/>
    </row>
    <row r="60" spans="1:10" s="346" customFormat="1" hidden="1" x14ac:dyDescent="0.2">
      <c r="A60" s="366" t="s">
        <v>51</v>
      </c>
    </row>
    <row r="61" spans="1:10" s="346" customFormat="1" hidden="1" x14ac:dyDescent="0.2">
      <c r="A61" s="346" t="s">
        <v>553</v>
      </c>
      <c r="C61" s="356"/>
      <c r="D61" s="356"/>
      <c r="E61" s="356"/>
      <c r="F61" s="356"/>
      <c r="G61" s="356"/>
      <c r="H61" s="356"/>
      <c r="I61" s="356"/>
      <c r="J61" s="356"/>
    </row>
    <row r="62" spans="1:10" s="346" customFormat="1" ht="38.25" hidden="1" x14ac:dyDescent="0.2">
      <c r="A62" s="367" t="s">
        <v>554</v>
      </c>
      <c r="C62" s="376"/>
      <c r="D62" s="376"/>
      <c r="E62" s="376"/>
      <c r="F62" s="376"/>
      <c r="G62" s="376"/>
      <c r="H62" s="376"/>
      <c r="I62" s="376"/>
      <c r="J62" s="376"/>
    </row>
    <row r="63" spans="1:10" s="346" customFormat="1" ht="38.25" hidden="1" x14ac:dyDescent="0.2">
      <c r="A63" s="367" t="s">
        <v>790</v>
      </c>
      <c r="C63" s="349"/>
      <c r="D63" s="349"/>
      <c r="E63" s="349"/>
      <c r="F63" s="349"/>
      <c r="G63" s="349"/>
      <c r="H63" s="349"/>
      <c r="I63" s="349"/>
      <c r="J63" s="349"/>
    </row>
    <row r="64" spans="1:10" s="346" customFormat="1" hidden="1" x14ac:dyDescent="0.2"/>
    <row r="65" spans="1:10" s="346" customFormat="1" ht="25.5" hidden="1" x14ac:dyDescent="0.2">
      <c r="A65" s="969" t="s">
        <v>52</v>
      </c>
    </row>
    <row r="66" spans="1:10" s="346" customFormat="1" ht="38.25" hidden="1" x14ac:dyDescent="0.2">
      <c r="A66" s="367" t="s">
        <v>592</v>
      </c>
      <c r="B66" s="346" t="s">
        <v>59</v>
      </c>
      <c r="C66" s="375"/>
      <c r="D66" s="375"/>
      <c r="E66" s="375"/>
      <c r="F66" s="375"/>
      <c r="G66" s="375"/>
      <c r="H66" s="375"/>
      <c r="I66" s="375"/>
      <c r="J66" s="375"/>
    </row>
    <row r="67" spans="1:10" s="346" customFormat="1" hidden="1" x14ac:dyDescent="0.2">
      <c r="A67" s="346" t="s">
        <v>555</v>
      </c>
      <c r="C67" s="356"/>
      <c r="D67" s="356"/>
      <c r="E67" s="356"/>
      <c r="F67" s="356"/>
      <c r="G67" s="356"/>
      <c r="H67" s="356"/>
      <c r="I67" s="356"/>
      <c r="J67" s="356"/>
    </row>
    <row r="68" spans="1:10" s="346" customFormat="1" hidden="1" x14ac:dyDescent="0.2">
      <c r="A68" s="346" t="s">
        <v>730</v>
      </c>
      <c r="C68" s="356"/>
      <c r="D68" s="356"/>
      <c r="E68" s="356"/>
      <c r="F68" s="356"/>
      <c r="G68" s="356"/>
      <c r="H68" s="356"/>
      <c r="I68" s="356"/>
      <c r="J68" s="356"/>
    </row>
    <row r="69" spans="1:10" s="346" customFormat="1" ht="38.25" hidden="1" x14ac:dyDescent="0.2">
      <c r="A69" s="367" t="s">
        <v>731</v>
      </c>
      <c r="C69" s="376"/>
      <c r="D69" s="376"/>
      <c r="E69" s="376"/>
      <c r="F69" s="376"/>
      <c r="G69" s="376"/>
      <c r="H69" s="376"/>
      <c r="I69" s="376"/>
      <c r="J69" s="376"/>
    </row>
    <row r="70" spans="1:10" s="346" customFormat="1" ht="38.25" hidden="1" x14ac:dyDescent="0.2">
      <c r="A70" s="367" t="s">
        <v>271</v>
      </c>
      <c r="C70" s="349"/>
      <c r="D70" s="349"/>
      <c r="E70" s="349"/>
      <c r="F70" s="349"/>
      <c r="G70" s="349"/>
      <c r="H70" s="349"/>
      <c r="I70" s="349"/>
      <c r="J70" s="349"/>
    </row>
    <row r="71" spans="1:10" s="332" customFormat="1" hidden="1" x14ac:dyDescent="0.2"/>
    <row r="72" spans="1:10" hidden="1" x14ac:dyDescent="0.2"/>
    <row r="73" spans="1:10" hidden="1" x14ac:dyDescent="0.2">
      <c r="A73" s="829" t="s">
        <v>793</v>
      </c>
    </row>
    <row r="74" spans="1:10" ht="54" hidden="1" customHeight="1" x14ac:dyDescent="0.2">
      <c r="A74" s="261" t="s">
        <v>438</v>
      </c>
      <c r="B74" s="262" t="s">
        <v>59</v>
      </c>
      <c r="C74" s="798" t="str">
        <f>IF(C14=0,"N/A","Answer Required")</f>
        <v>N/A</v>
      </c>
      <c r="D74" s="798" t="str">
        <f t="shared" ref="D74:J74" si="6">IF(D14=0,"N/A","Answer Required")</f>
        <v>N/A</v>
      </c>
      <c r="E74" s="798" t="str">
        <f t="shared" si="6"/>
        <v>N/A</v>
      </c>
      <c r="F74" s="798" t="str">
        <f t="shared" si="6"/>
        <v>N/A</v>
      </c>
      <c r="G74" s="798" t="str">
        <f t="shared" si="6"/>
        <v>N/A</v>
      </c>
      <c r="H74" s="798" t="str">
        <f t="shared" si="6"/>
        <v>N/A</v>
      </c>
      <c r="I74" s="798" t="str">
        <f t="shared" si="6"/>
        <v>N/A</v>
      </c>
      <c r="J74" s="798" t="str">
        <f t="shared" si="6"/>
        <v>N/A</v>
      </c>
    </row>
    <row r="75" spans="1:10" ht="6" hidden="1" customHeight="1" x14ac:dyDescent="0.2">
      <c r="A75" s="169"/>
      <c r="B75" s="244"/>
      <c r="C75" s="244"/>
    </row>
    <row r="76" spans="1:10" ht="78" hidden="1" customHeight="1" x14ac:dyDescent="0.2">
      <c r="A76" s="238" t="s">
        <v>101</v>
      </c>
    </row>
    <row r="77" spans="1:10" ht="109.5" hidden="1" customHeight="1" x14ac:dyDescent="0.2">
      <c r="A77" s="1648" t="str">
        <f>IF(OR(C74="Yes",D74="Yes",E74="Yes",F74="Yes",G74="Yes",H74="Yes",I74="Yes",J74="Yes"),"Answer Required","N/A")</f>
        <v>N/A</v>
      </c>
      <c r="B77" s="1649"/>
      <c r="C77" s="1649"/>
      <c r="D77" s="1649"/>
      <c r="E77" s="1649"/>
      <c r="F77" s="1649"/>
      <c r="G77" s="1649"/>
      <c r="H77" s="1649"/>
      <c r="I77" s="1649"/>
      <c r="J77" s="1650"/>
    </row>
    <row r="78" spans="1:10" hidden="1" x14ac:dyDescent="0.2"/>
    <row r="79" spans="1:10" hidden="1" x14ac:dyDescent="0.2">
      <c r="A79" s="829" t="s">
        <v>938</v>
      </c>
    </row>
    <row r="80" spans="1:10" ht="60.75" hidden="1" customHeight="1" x14ac:dyDescent="0.2">
      <c r="A80" s="712" t="s">
        <v>985</v>
      </c>
      <c r="B80" s="262" t="s">
        <v>59</v>
      </c>
      <c r="C80" s="798" t="str">
        <f>IF(C14=0,"N/A","Answer Required")</f>
        <v>N/A</v>
      </c>
      <c r="D80" s="798" t="str">
        <f t="shared" ref="D80:J80" si="7">IF(D14=0,"N/A","Answer Required")</f>
        <v>N/A</v>
      </c>
      <c r="E80" s="798" t="str">
        <f t="shared" si="7"/>
        <v>N/A</v>
      </c>
      <c r="F80" s="798" t="str">
        <f t="shared" si="7"/>
        <v>N/A</v>
      </c>
      <c r="G80" s="798" t="str">
        <f t="shared" si="7"/>
        <v>N/A</v>
      </c>
      <c r="H80" s="798" t="str">
        <f t="shared" si="7"/>
        <v>N/A</v>
      </c>
      <c r="I80" s="798" t="str">
        <f t="shared" si="7"/>
        <v>N/A</v>
      </c>
      <c r="J80" s="798" t="str">
        <f t="shared" si="7"/>
        <v>N/A</v>
      </c>
    </row>
    <row r="81" spans="1:10" ht="75.75" hidden="1" customHeight="1" x14ac:dyDescent="0.2">
      <c r="A81" s="238" t="s">
        <v>101</v>
      </c>
      <c r="C81" s="1647" t="s">
        <v>1153</v>
      </c>
      <c r="D81" s="1647"/>
      <c r="E81" s="1647"/>
      <c r="F81" s="1647"/>
      <c r="G81" s="1647"/>
      <c r="H81" s="1647"/>
      <c r="I81" s="1647"/>
      <c r="J81" s="1647"/>
    </row>
    <row r="82" spans="1:10" ht="109.5" hidden="1" customHeight="1" x14ac:dyDescent="0.2">
      <c r="A82" s="1648" t="str">
        <f>IF(OR(C80="Yes",D80="Yes",E80="Yes",F80="Yes",G80="Yes",H80="Yes",I80="Yes",J80="Yes"),"Answer Required","N/A")</f>
        <v>N/A</v>
      </c>
      <c r="B82" s="1649"/>
      <c r="C82" s="1649"/>
      <c r="D82" s="1649"/>
      <c r="E82" s="1649"/>
      <c r="F82" s="1649"/>
      <c r="G82" s="1649"/>
      <c r="H82" s="1649"/>
      <c r="I82" s="1649"/>
      <c r="J82" s="1650"/>
    </row>
    <row r="83" spans="1:10" hidden="1" x14ac:dyDescent="0.2"/>
    <row r="84" spans="1:10" x14ac:dyDescent="0.2">
      <c r="A84" s="829" t="s">
        <v>1265</v>
      </c>
    </row>
    <row r="85" spans="1:10" x14ac:dyDescent="0.2">
      <c r="A85" s="829" t="s">
        <v>794</v>
      </c>
    </row>
    <row r="86" spans="1:10" ht="116.25" customHeight="1" x14ac:dyDescent="0.2">
      <c r="A86" s="705" t="s">
        <v>1390</v>
      </c>
      <c r="B86" s="58" t="s">
        <v>138</v>
      </c>
      <c r="C86" s="830" t="str">
        <f>IF(C14=0,"N/A","Answer Required")</f>
        <v>N/A</v>
      </c>
      <c r="D86" s="830" t="str">
        <f t="shared" ref="D86:J86" si="8">IF(D14=0,"N/A","Answer Required")</f>
        <v>N/A</v>
      </c>
      <c r="E86" s="830" t="str">
        <f t="shared" si="8"/>
        <v>N/A</v>
      </c>
      <c r="F86" s="830" t="str">
        <f t="shared" si="8"/>
        <v>N/A</v>
      </c>
      <c r="G86" s="830" t="str">
        <f t="shared" si="8"/>
        <v>N/A</v>
      </c>
      <c r="H86" s="830" t="str">
        <f t="shared" si="8"/>
        <v>N/A</v>
      </c>
      <c r="I86" s="830" t="str">
        <f t="shared" si="8"/>
        <v>N/A</v>
      </c>
      <c r="J86" s="830" t="str">
        <f t="shared" si="8"/>
        <v>N/A</v>
      </c>
    </row>
    <row r="87" spans="1:10" ht="8.25" customHeight="1" x14ac:dyDescent="0.2">
      <c r="A87" s="238"/>
    </row>
    <row r="88" spans="1:10" x14ac:dyDescent="0.2">
      <c r="A88" s="58" t="s">
        <v>348</v>
      </c>
    </row>
    <row r="90" spans="1:10" ht="119.25" customHeight="1" x14ac:dyDescent="0.2">
      <c r="A90" s="238" t="s">
        <v>732</v>
      </c>
      <c r="B90" s="58" t="s">
        <v>138</v>
      </c>
      <c r="C90" s="61" t="str">
        <f t="shared" ref="C90:J90" si="9">IF(C14=0,"N/A","Answer Required")</f>
        <v>N/A</v>
      </c>
      <c r="D90" s="61" t="str">
        <f t="shared" si="9"/>
        <v>N/A</v>
      </c>
      <c r="E90" s="61" t="str">
        <f t="shared" si="9"/>
        <v>N/A</v>
      </c>
      <c r="F90" s="61" t="str">
        <f t="shared" si="9"/>
        <v>N/A</v>
      </c>
      <c r="G90" s="61" t="str">
        <f t="shared" si="9"/>
        <v>N/A</v>
      </c>
      <c r="H90" s="61" t="str">
        <f t="shared" si="9"/>
        <v>N/A</v>
      </c>
      <c r="I90" s="61" t="str">
        <f t="shared" si="9"/>
        <v>N/A</v>
      </c>
      <c r="J90" s="61" t="str">
        <f t="shared" si="9"/>
        <v>N/A</v>
      </c>
    </row>
    <row r="91" spans="1:10" s="482" customFormat="1" ht="15.75" customHeight="1" x14ac:dyDescent="0.2">
      <c r="A91" s="58" t="s">
        <v>348</v>
      </c>
    </row>
    <row r="93" spans="1:10" x14ac:dyDescent="0.2">
      <c r="A93" s="829" t="s">
        <v>1857</v>
      </c>
    </row>
    <row r="94" spans="1:10" x14ac:dyDescent="0.2">
      <c r="A94" s="829"/>
    </row>
    <row r="95" spans="1:10" x14ac:dyDescent="0.2">
      <c r="A95" s="58" t="s">
        <v>46</v>
      </c>
    </row>
    <row r="97" spans="1:10" x14ac:dyDescent="0.2">
      <c r="A97" s="58" t="s">
        <v>298</v>
      </c>
      <c r="C97" s="58" t="s">
        <v>297</v>
      </c>
    </row>
    <row r="98" spans="1:10" ht="27.75" customHeight="1" x14ac:dyDescent="0.2">
      <c r="A98" s="1636"/>
      <c r="B98" s="1637"/>
      <c r="C98" s="459"/>
      <c r="D98" s="459"/>
      <c r="E98" s="459"/>
      <c r="F98" s="459"/>
      <c r="G98" s="459"/>
      <c r="H98" s="459"/>
      <c r="I98" s="459"/>
      <c r="J98" s="459"/>
    </row>
    <row r="99" spans="1:10" ht="27.75" customHeight="1" x14ac:dyDescent="0.2">
      <c r="A99" s="1636"/>
      <c r="B99" s="1637"/>
      <c r="C99" s="459"/>
      <c r="D99" s="459"/>
      <c r="E99" s="459"/>
      <c r="F99" s="459"/>
      <c r="G99" s="459"/>
      <c r="H99" s="459"/>
      <c r="I99" s="459"/>
      <c r="J99" s="459"/>
    </row>
    <row r="100" spans="1:10" ht="27.75" customHeight="1" x14ac:dyDescent="0.2">
      <c r="A100" s="1636"/>
      <c r="B100" s="1637"/>
      <c r="C100" s="459"/>
      <c r="D100" s="459"/>
      <c r="E100" s="459"/>
      <c r="F100" s="459"/>
      <c r="G100" s="459"/>
      <c r="H100" s="459"/>
      <c r="I100" s="459"/>
      <c r="J100" s="459"/>
    </row>
    <row r="101" spans="1:10" ht="27.75" customHeight="1" x14ac:dyDescent="0.2">
      <c r="A101" s="1636"/>
      <c r="B101" s="1637"/>
      <c r="C101" s="459"/>
      <c r="D101" s="459"/>
      <c r="E101" s="459"/>
      <c r="F101" s="459"/>
      <c r="G101" s="459"/>
      <c r="H101" s="459"/>
      <c r="I101" s="459"/>
      <c r="J101" s="459"/>
    </row>
    <row r="102" spans="1:10" ht="27.75" customHeight="1" x14ac:dyDescent="0.2">
      <c r="A102" s="1636"/>
      <c r="B102" s="1637"/>
      <c r="C102" s="459"/>
      <c r="D102" s="459"/>
      <c r="E102" s="459"/>
      <c r="F102" s="459"/>
      <c r="G102" s="459"/>
      <c r="H102" s="459"/>
      <c r="I102" s="459"/>
      <c r="J102" s="459"/>
    </row>
    <row r="103" spans="1:10" ht="27.75" customHeight="1" x14ac:dyDescent="0.2">
      <c r="A103" s="1636"/>
      <c r="B103" s="1637"/>
      <c r="C103" s="459"/>
      <c r="D103" s="459"/>
      <c r="E103" s="459"/>
      <c r="F103" s="459"/>
      <c r="G103" s="459"/>
      <c r="H103" s="459"/>
      <c r="I103" s="459"/>
      <c r="J103" s="459"/>
    </row>
    <row r="104" spans="1:10" ht="27.75" customHeight="1" x14ac:dyDescent="0.2">
      <c r="A104" s="1636"/>
      <c r="B104" s="1637"/>
      <c r="C104" s="459"/>
      <c r="D104" s="459"/>
      <c r="E104" s="459"/>
      <c r="F104" s="459"/>
      <c r="G104" s="459"/>
      <c r="H104" s="459"/>
      <c r="I104" s="459"/>
      <c r="J104" s="459"/>
    </row>
    <row r="105" spans="1:10" ht="27.75" customHeight="1" x14ac:dyDescent="0.2">
      <c r="A105" s="1636"/>
      <c r="B105" s="1637"/>
      <c r="C105" s="459"/>
      <c r="D105" s="459"/>
      <c r="E105" s="459"/>
      <c r="F105" s="459"/>
      <c r="G105" s="459"/>
      <c r="H105" s="459"/>
      <c r="I105" s="459"/>
      <c r="J105" s="459"/>
    </row>
    <row r="106" spans="1:10" ht="27.75" customHeight="1" x14ac:dyDescent="0.2">
      <c r="A106" s="1636"/>
      <c r="B106" s="1637"/>
      <c r="C106" s="459"/>
      <c r="D106" s="459"/>
      <c r="E106" s="459"/>
      <c r="F106" s="459"/>
      <c r="G106" s="459"/>
      <c r="H106" s="459"/>
      <c r="I106" s="459"/>
      <c r="J106" s="459"/>
    </row>
    <row r="107" spans="1:10" ht="27.75" customHeight="1" x14ac:dyDescent="0.2">
      <c r="A107" s="1636"/>
      <c r="B107" s="1637"/>
      <c r="C107" s="459"/>
      <c r="D107" s="459"/>
      <c r="E107" s="459"/>
      <c r="F107" s="459"/>
      <c r="G107" s="459"/>
      <c r="H107" s="459"/>
      <c r="I107" s="459"/>
      <c r="J107" s="459"/>
    </row>
    <row r="108" spans="1:10" ht="13.5" thickBot="1" x14ac:dyDescent="0.25">
      <c r="A108" s="58" t="s">
        <v>13</v>
      </c>
      <c r="C108" s="232">
        <f>IF(SUM(C98:C107)='Combining FST'!G36,SUM(C98:C107),"Error")</f>
        <v>0</v>
      </c>
      <c r="D108" s="232">
        <f>IF(SUM(D98:D107)='Combining FST'!H36,SUM(D98:D107),"Error")</f>
        <v>0</v>
      </c>
      <c r="E108" s="232">
        <f>IF(SUM(E98:E107)='Combining FST'!I36,SUM(E98:E107),"Error")</f>
        <v>0</v>
      </c>
      <c r="F108" s="232">
        <f>IF(SUM(F98:F107)='Combining FST'!J36,SUM(F98:F107),"Error")</f>
        <v>0</v>
      </c>
      <c r="G108" s="232">
        <f>IF(SUM(G98:G107)='Combining FST'!K36,SUM(G98:G107),"Error")</f>
        <v>0</v>
      </c>
      <c r="H108" s="232">
        <f>IF(SUM(H98:H107)='Combining FST'!L36,SUM(H98:H107),"Error")</f>
        <v>0</v>
      </c>
      <c r="I108" s="232">
        <f>IF(SUM(I98:I107)='Combining FST'!M36,SUM(I98:I107),"Error")</f>
        <v>0</v>
      </c>
      <c r="J108" s="232">
        <f>IF(SUM(J98:J107)='Combining FST'!N36,SUM(J98:J107),"Error")</f>
        <v>0</v>
      </c>
    </row>
    <row r="109" spans="1:10" ht="13.5" thickTop="1" x14ac:dyDescent="0.2">
      <c r="B109" s="451" t="s">
        <v>821</v>
      </c>
      <c r="C109" s="454">
        <f>SUM(C98:C107)</f>
        <v>0</v>
      </c>
      <c r="D109" s="454">
        <f t="shared" ref="D109:J109" si="10">SUM(D98:D107)</f>
        <v>0</v>
      </c>
      <c r="E109" s="454">
        <f t="shared" si="10"/>
        <v>0</v>
      </c>
      <c r="F109" s="454">
        <f t="shared" si="10"/>
        <v>0</v>
      </c>
      <c r="G109" s="454">
        <f t="shared" si="10"/>
        <v>0</v>
      </c>
      <c r="H109" s="454">
        <f t="shared" si="10"/>
        <v>0</v>
      </c>
      <c r="I109" s="454">
        <f t="shared" si="10"/>
        <v>0</v>
      </c>
      <c r="J109" s="454">
        <f t="shared" si="10"/>
        <v>0</v>
      </c>
    </row>
    <row r="110" spans="1:10" x14ac:dyDescent="0.2">
      <c r="B110" s="451" t="s">
        <v>410</v>
      </c>
      <c r="C110" s="454">
        <f>'Combining FST'!G36-'TAB F7, Miscellaneous'!C109</f>
        <v>0</v>
      </c>
      <c r="D110" s="454">
        <f>'Combining FST'!H36-'TAB F7, Miscellaneous'!D109</f>
        <v>0</v>
      </c>
      <c r="E110" s="454">
        <f>'Combining FST'!I36-'TAB F7, Miscellaneous'!E109</f>
        <v>0</v>
      </c>
      <c r="F110" s="454">
        <f>'Combining FST'!J36-'TAB F7, Miscellaneous'!F109</f>
        <v>0</v>
      </c>
      <c r="G110" s="454">
        <f>'Combining FST'!K36-'TAB F7, Miscellaneous'!G109</f>
        <v>0</v>
      </c>
      <c r="H110" s="454">
        <f>'Combining FST'!L36-'TAB F7, Miscellaneous'!H109</f>
        <v>0</v>
      </c>
      <c r="I110" s="454">
        <f>'Combining FST'!M36-'TAB F7, Miscellaneous'!I109</f>
        <v>0</v>
      </c>
      <c r="J110" s="454">
        <f>'Combining FST'!N36-'TAB F7, Miscellaneous'!J109</f>
        <v>0</v>
      </c>
    </row>
    <row r="111" spans="1:10" ht="97.5" customHeight="1" x14ac:dyDescent="0.2">
      <c r="A111" s="973" t="s">
        <v>264</v>
      </c>
    </row>
    <row r="112" spans="1:10" x14ac:dyDescent="0.2">
      <c r="A112" s="829"/>
    </row>
    <row r="113" spans="1:10" x14ac:dyDescent="0.2">
      <c r="A113" s="58" t="s">
        <v>47</v>
      </c>
    </row>
    <row r="115" spans="1:10" x14ac:dyDescent="0.2">
      <c r="A115" s="58" t="s">
        <v>298</v>
      </c>
      <c r="C115" s="58" t="s">
        <v>297</v>
      </c>
    </row>
    <row r="116" spans="1:10" ht="27.75" customHeight="1" x14ac:dyDescent="0.2">
      <c r="A116" s="1636"/>
      <c r="B116" s="1637"/>
      <c r="C116" s="459"/>
      <c r="D116" s="459"/>
      <c r="E116" s="459"/>
      <c r="F116" s="459"/>
      <c r="G116" s="459"/>
      <c r="H116" s="459"/>
      <c r="I116" s="459"/>
      <c r="J116" s="459"/>
    </row>
    <row r="117" spans="1:10" ht="27.75" customHeight="1" x14ac:dyDescent="0.2">
      <c r="A117" s="1636"/>
      <c r="B117" s="1637"/>
      <c r="C117" s="459"/>
      <c r="D117" s="459"/>
      <c r="E117" s="459"/>
      <c r="F117" s="459"/>
      <c r="G117" s="459"/>
      <c r="H117" s="459"/>
      <c r="I117" s="459"/>
      <c r="J117" s="459"/>
    </row>
    <row r="118" spans="1:10" ht="27.75" customHeight="1" x14ac:dyDescent="0.2">
      <c r="A118" s="1636"/>
      <c r="B118" s="1637"/>
      <c r="C118" s="459"/>
      <c r="D118" s="459"/>
      <c r="E118" s="459"/>
      <c r="F118" s="459"/>
      <c r="G118" s="459"/>
      <c r="H118" s="459"/>
      <c r="I118" s="459"/>
      <c r="J118" s="459"/>
    </row>
    <row r="119" spans="1:10" ht="27.75" customHeight="1" x14ac:dyDescent="0.2">
      <c r="A119" s="1636"/>
      <c r="B119" s="1637"/>
      <c r="C119" s="459"/>
      <c r="D119" s="459"/>
      <c r="E119" s="459"/>
      <c r="F119" s="459"/>
      <c r="G119" s="459"/>
      <c r="H119" s="459"/>
      <c r="I119" s="459"/>
      <c r="J119" s="459"/>
    </row>
    <row r="120" spans="1:10" ht="27.75" customHeight="1" x14ac:dyDescent="0.2">
      <c r="A120" s="1636"/>
      <c r="B120" s="1637"/>
      <c r="C120" s="459"/>
      <c r="D120" s="459"/>
      <c r="E120" s="459"/>
      <c r="F120" s="459"/>
      <c r="G120" s="459"/>
      <c r="H120" s="459"/>
      <c r="I120" s="459"/>
      <c r="J120" s="459"/>
    </row>
    <row r="121" spans="1:10" ht="27.75" customHeight="1" x14ac:dyDescent="0.2">
      <c r="A121" s="1636"/>
      <c r="B121" s="1637"/>
      <c r="C121" s="459"/>
      <c r="D121" s="459"/>
      <c r="E121" s="459"/>
      <c r="F121" s="459"/>
      <c r="G121" s="459"/>
      <c r="H121" s="459"/>
      <c r="I121" s="459"/>
      <c r="J121" s="459"/>
    </row>
    <row r="122" spans="1:10" ht="27.75" customHeight="1" x14ac:dyDescent="0.2">
      <c r="A122" s="1636"/>
      <c r="B122" s="1637"/>
      <c r="C122" s="459"/>
      <c r="D122" s="459"/>
      <c r="E122" s="459"/>
      <c r="F122" s="459"/>
      <c r="G122" s="459"/>
      <c r="H122" s="459"/>
      <c r="I122" s="459"/>
      <c r="J122" s="459"/>
    </row>
    <row r="123" spans="1:10" ht="27.75" customHeight="1" x14ac:dyDescent="0.2">
      <c r="A123" s="1636"/>
      <c r="B123" s="1637"/>
      <c r="C123" s="459"/>
      <c r="D123" s="459"/>
      <c r="E123" s="459"/>
      <c r="F123" s="459"/>
      <c r="G123" s="459"/>
      <c r="H123" s="459"/>
      <c r="I123" s="459"/>
      <c r="J123" s="459"/>
    </row>
    <row r="124" spans="1:10" ht="27.75" customHeight="1" x14ac:dyDescent="0.2">
      <c r="A124" s="1636"/>
      <c r="B124" s="1637"/>
      <c r="C124" s="459"/>
      <c r="D124" s="459"/>
      <c r="E124" s="459"/>
      <c r="F124" s="459"/>
      <c r="G124" s="459"/>
      <c r="H124" s="459"/>
      <c r="I124" s="459"/>
      <c r="J124" s="459"/>
    </row>
    <row r="125" spans="1:10" ht="27.75" customHeight="1" x14ac:dyDescent="0.2">
      <c r="A125" s="1636"/>
      <c r="B125" s="1637"/>
      <c r="C125" s="459"/>
      <c r="D125" s="459"/>
      <c r="E125" s="459"/>
      <c r="F125" s="459"/>
      <c r="G125" s="459"/>
      <c r="H125" s="459"/>
      <c r="I125" s="459"/>
      <c r="J125" s="459"/>
    </row>
    <row r="126" spans="1:10" ht="13.5" thickBot="1" x14ac:dyDescent="0.25">
      <c r="A126" s="58" t="s">
        <v>675</v>
      </c>
      <c r="C126" s="232">
        <f>IF(SUM(C116:C125)='Combining FST'!G43,SUM(C116:C125),"Error")</f>
        <v>0</v>
      </c>
      <c r="D126" s="232">
        <f>IF(SUM(D116:D125)='Combining FST'!H43,SUM(D116:D125),"Error")</f>
        <v>0</v>
      </c>
      <c r="E126" s="232">
        <f>IF(SUM(E116:E125)='Combining FST'!I43,SUM(E116:E125),"Error")</f>
        <v>0</v>
      </c>
      <c r="F126" s="232">
        <f>IF(SUM(F116:F125)='Combining FST'!J43,SUM(F116:F125),"Error")</f>
        <v>0</v>
      </c>
      <c r="G126" s="232">
        <f>IF(SUM(G116:G125)='Combining FST'!K43,SUM(G116:G125),"Error")</f>
        <v>0</v>
      </c>
      <c r="H126" s="232">
        <f>IF(SUM(H116:H125)='Combining FST'!L43,SUM(H116:H125),"Error")</f>
        <v>0</v>
      </c>
      <c r="I126" s="232">
        <f>IF(SUM(I116:I125)='Combining FST'!M43,SUM(I116:I125),"Error")</f>
        <v>0</v>
      </c>
      <c r="J126" s="232">
        <f>IF(SUM(J116:J125)='Combining FST'!N43,SUM(J116:J125),"Error")</f>
        <v>0</v>
      </c>
    </row>
    <row r="127" spans="1:10" ht="13.5" thickTop="1" x14ac:dyDescent="0.2">
      <c r="B127" s="451" t="s">
        <v>821</v>
      </c>
      <c r="C127" s="454">
        <f>SUM(C116:C125)</f>
        <v>0</v>
      </c>
      <c r="D127" s="454">
        <f t="shared" ref="D127:J127" si="11">SUM(D116:D125)</f>
        <v>0</v>
      </c>
      <c r="E127" s="454">
        <f t="shared" si="11"/>
        <v>0</v>
      </c>
      <c r="F127" s="454">
        <f t="shared" si="11"/>
        <v>0</v>
      </c>
      <c r="G127" s="454">
        <f t="shared" si="11"/>
        <v>0</v>
      </c>
      <c r="H127" s="454">
        <f t="shared" si="11"/>
        <v>0</v>
      </c>
      <c r="I127" s="454">
        <f t="shared" si="11"/>
        <v>0</v>
      </c>
      <c r="J127" s="454">
        <f t="shared" si="11"/>
        <v>0</v>
      </c>
    </row>
    <row r="128" spans="1:10" x14ac:dyDescent="0.2">
      <c r="B128" s="452" t="s">
        <v>410</v>
      </c>
      <c r="C128" s="454">
        <f>'Combining FST'!G43-'TAB F7, Miscellaneous'!C127</f>
        <v>0</v>
      </c>
      <c r="D128" s="454">
        <f>'Combining FST'!H43-'TAB F7, Miscellaneous'!D127</f>
        <v>0</v>
      </c>
      <c r="E128" s="454">
        <f>'Combining FST'!I43-'TAB F7, Miscellaneous'!E127</f>
        <v>0</v>
      </c>
      <c r="F128" s="454">
        <f>'Combining FST'!J43-'TAB F7, Miscellaneous'!F127</f>
        <v>0</v>
      </c>
      <c r="G128" s="454">
        <f>'Combining FST'!K43-'TAB F7, Miscellaneous'!G127</f>
        <v>0</v>
      </c>
      <c r="H128" s="454">
        <f>'Combining FST'!L43-'TAB F7, Miscellaneous'!H127</f>
        <v>0</v>
      </c>
      <c r="I128" s="454">
        <f>'Combining FST'!M43-'TAB F7, Miscellaneous'!I127</f>
        <v>0</v>
      </c>
      <c r="J128" s="454">
        <f>'Combining FST'!N43-'TAB F7, Miscellaneous'!J127</f>
        <v>0</v>
      </c>
    </row>
    <row r="129" spans="1:10" ht="97.5" customHeight="1" x14ac:dyDescent="0.2">
      <c r="A129" s="973" t="s">
        <v>265</v>
      </c>
    </row>
    <row r="131" spans="1:10" x14ac:dyDescent="0.2">
      <c r="A131" s="829" t="s">
        <v>1266</v>
      </c>
    </row>
    <row r="132" spans="1:10" x14ac:dyDescent="0.2">
      <c r="A132" s="829"/>
    </row>
    <row r="133" spans="1:10" x14ac:dyDescent="0.2">
      <c r="A133" s="58" t="s">
        <v>676</v>
      </c>
    </row>
    <row r="135" spans="1:10" x14ac:dyDescent="0.2">
      <c r="A135" s="58" t="s">
        <v>298</v>
      </c>
      <c r="C135" s="58" t="s">
        <v>297</v>
      </c>
    </row>
    <row r="136" spans="1:10" ht="27.75" customHeight="1" x14ac:dyDescent="0.2">
      <c r="A136" s="1655" t="s">
        <v>1406</v>
      </c>
      <c r="B136" s="1656"/>
      <c r="C136" s="459"/>
      <c r="D136" s="459"/>
      <c r="E136" s="459"/>
      <c r="F136" s="459"/>
      <c r="G136" s="459"/>
      <c r="H136" s="459"/>
      <c r="I136" s="459"/>
      <c r="J136" s="459"/>
    </row>
    <row r="137" spans="1:10" ht="27.75" customHeight="1" x14ac:dyDescent="0.2">
      <c r="A137" s="1636"/>
      <c r="B137" s="1637"/>
      <c r="C137" s="459"/>
      <c r="D137" s="459"/>
      <c r="E137" s="459"/>
      <c r="F137" s="459"/>
      <c r="G137" s="459"/>
      <c r="H137" s="459"/>
      <c r="I137" s="459"/>
      <c r="J137" s="459"/>
    </row>
    <row r="138" spans="1:10" ht="27.75" customHeight="1" x14ac:dyDescent="0.2">
      <c r="A138" s="1636"/>
      <c r="B138" s="1637"/>
      <c r="C138" s="459"/>
      <c r="D138" s="459"/>
      <c r="E138" s="459"/>
      <c r="F138" s="459"/>
      <c r="G138" s="459"/>
      <c r="H138" s="459"/>
      <c r="I138" s="459"/>
      <c r="J138" s="459"/>
    </row>
    <row r="139" spans="1:10" ht="27.75" customHeight="1" x14ac:dyDescent="0.2">
      <c r="A139" s="1636"/>
      <c r="B139" s="1637"/>
      <c r="C139" s="459"/>
      <c r="D139" s="459"/>
      <c r="E139" s="459"/>
      <c r="F139" s="459"/>
      <c r="G139" s="459"/>
      <c r="H139" s="459"/>
      <c r="I139" s="459"/>
      <c r="J139" s="459"/>
    </row>
    <row r="140" spans="1:10" ht="27.75" customHeight="1" x14ac:dyDescent="0.2">
      <c r="A140" s="1636"/>
      <c r="B140" s="1637"/>
      <c r="C140" s="459"/>
      <c r="D140" s="459"/>
      <c r="E140" s="459"/>
      <c r="F140" s="459"/>
      <c r="G140" s="459"/>
      <c r="H140" s="459"/>
      <c r="I140" s="459"/>
      <c r="J140" s="459"/>
    </row>
    <row r="141" spans="1:10" ht="27.75" customHeight="1" x14ac:dyDescent="0.2">
      <c r="A141" s="1636"/>
      <c r="B141" s="1637"/>
      <c r="C141" s="459"/>
      <c r="D141" s="459"/>
      <c r="E141" s="459"/>
      <c r="F141" s="459"/>
      <c r="G141" s="459"/>
      <c r="H141" s="459"/>
      <c r="I141" s="459"/>
      <c r="J141" s="459"/>
    </row>
    <row r="142" spans="1:10" ht="27.75" customHeight="1" x14ac:dyDescent="0.2">
      <c r="A142" s="1636"/>
      <c r="B142" s="1637"/>
      <c r="C142" s="459"/>
      <c r="D142" s="459"/>
      <c r="E142" s="459"/>
      <c r="F142" s="459"/>
      <c r="G142" s="459"/>
      <c r="H142" s="459"/>
      <c r="I142" s="459"/>
      <c r="J142" s="459"/>
    </row>
    <row r="143" spans="1:10" ht="27.75" customHeight="1" x14ac:dyDescent="0.2">
      <c r="A143" s="1636"/>
      <c r="B143" s="1637"/>
      <c r="C143" s="459"/>
      <c r="D143" s="459"/>
      <c r="E143" s="459"/>
      <c r="F143" s="459"/>
      <c r="G143" s="459"/>
      <c r="H143" s="459"/>
      <c r="I143" s="459"/>
      <c r="J143" s="459"/>
    </row>
    <row r="144" spans="1:10" ht="27.75" customHeight="1" x14ac:dyDescent="0.2">
      <c r="A144" s="1636"/>
      <c r="B144" s="1637"/>
      <c r="C144" s="459"/>
      <c r="D144" s="459"/>
      <c r="E144" s="459"/>
      <c r="F144" s="459"/>
      <c r="G144" s="459"/>
      <c r="H144" s="459"/>
      <c r="I144" s="459"/>
      <c r="J144" s="459"/>
    </row>
    <row r="145" spans="1:10" ht="27.75" customHeight="1" x14ac:dyDescent="0.2">
      <c r="A145" s="1636"/>
      <c r="B145" s="1637"/>
      <c r="C145" s="459"/>
      <c r="D145" s="459"/>
      <c r="E145" s="459"/>
      <c r="F145" s="459"/>
      <c r="G145" s="459"/>
      <c r="H145" s="459"/>
      <c r="I145" s="459"/>
      <c r="J145" s="459"/>
    </row>
    <row r="146" spans="1:10" ht="13.5" thickBot="1" x14ac:dyDescent="0.25">
      <c r="A146" s="58" t="s">
        <v>26</v>
      </c>
      <c r="C146" s="232">
        <f>IF(SUM(C136:C145)='Combining FST'!G72,SUM(C136:C145),"Error")</f>
        <v>0</v>
      </c>
      <c r="D146" s="232">
        <f>IF(SUM(D136:D145)='Combining FST'!H72,SUM(D136:D145),"Error")</f>
        <v>0</v>
      </c>
      <c r="E146" s="232">
        <f>IF(SUM(E136:E145)='Combining FST'!I72,SUM(E136:E145),"Error")</f>
        <v>0</v>
      </c>
      <c r="F146" s="232">
        <f>IF(SUM(F136:F145)='Combining FST'!J72,SUM(F136:F145),"Error")</f>
        <v>0</v>
      </c>
      <c r="G146" s="232">
        <f>IF(SUM(G136:G145)='Combining FST'!K72,SUM(G136:G145),"Error")</f>
        <v>0</v>
      </c>
      <c r="H146" s="232">
        <f>IF(SUM(H136:H145)='Combining FST'!L72,SUM(H136:H145),"Error")</f>
        <v>0</v>
      </c>
      <c r="I146" s="232">
        <f>IF(SUM(I136:I145)='Combining FST'!M72,SUM(I136:I145),"Error")</f>
        <v>0</v>
      </c>
      <c r="J146" s="232">
        <f>IF(SUM(J136:J145)='Combining FST'!N72,SUM(J136:J145),"Error")</f>
        <v>0</v>
      </c>
    </row>
    <row r="147" spans="1:10" ht="13.5" thickTop="1" x14ac:dyDescent="0.2">
      <c r="B147" s="451" t="s">
        <v>821</v>
      </c>
      <c r="C147" s="454">
        <f>SUM(C136:C145)</f>
        <v>0</v>
      </c>
      <c r="D147" s="454">
        <f t="shared" ref="D147:J147" si="12">SUM(D136:D145)</f>
        <v>0</v>
      </c>
      <c r="E147" s="454">
        <f t="shared" si="12"/>
        <v>0</v>
      </c>
      <c r="F147" s="454">
        <f t="shared" si="12"/>
        <v>0</v>
      </c>
      <c r="G147" s="454">
        <f t="shared" si="12"/>
        <v>0</v>
      </c>
      <c r="H147" s="454">
        <f t="shared" si="12"/>
        <v>0</v>
      </c>
      <c r="I147" s="454">
        <f t="shared" si="12"/>
        <v>0</v>
      </c>
      <c r="J147" s="454">
        <f t="shared" si="12"/>
        <v>0</v>
      </c>
    </row>
    <row r="148" spans="1:10" x14ac:dyDescent="0.2">
      <c r="B148" s="452" t="s">
        <v>410</v>
      </c>
      <c r="C148" s="454">
        <f>'Combining FST'!G72-'TAB F7, Miscellaneous'!C147</f>
        <v>0</v>
      </c>
      <c r="D148" s="454">
        <f>'Combining FST'!H72-'TAB F7, Miscellaneous'!D147</f>
        <v>0</v>
      </c>
      <c r="E148" s="454">
        <f>'Combining FST'!I72-'TAB F7, Miscellaneous'!E147</f>
        <v>0</v>
      </c>
      <c r="F148" s="454">
        <f>'Combining FST'!J72-'TAB F7, Miscellaneous'!F147</f>
        <v>0</v>
      </c>
      <c r="G148" s="454">
        <f>'Combining FST'!K72-'TAB F7, Miscellaneous'!G147</f>
        <v>0</v>
      </c>
      <c r="H148" s="454">
        <f>'Combining FST'!L72-'TAB F7, Miscellaneous'!H147</f>
        <v>0</v>
      </c>
      <c r="I148" s="454">
        <f>'Combining FST'!M72-'TAB F7, Miscellaneous'!I147</f>
        <v>0</v>
      </c>
      <c r="J148" s="454">
        <f>'Combining FST'!N72-'TAB F7, Miscellaneous'!J147</f>
        <v>0</v>
      </c>
    </row>
    <row r="149" spans="1:10" ht="102" customHeight="1" x14ac:dyDescent="0.2">
      <c r="A149" s="973" t="s">
        <v>266</v>
      </c>
    </row>
    <row r="151" spans="1:10" hidden="1" x14ac:dyDescent="0.2">
      <c r="A151" s="829" t="s">
        <v>414</v>
      </c>
    </row>
    <row r="152" spans="1:10" hidden="1" x14ac:dyDescent="0.2">
      <c r="A152" s="829"/>
    </row>
    <row r="153" spans="1:10" ht="91.5" hidden="1" customHeight="1" x14ac:dyDescent="0.2">
      <c r="A153" s="238" t="s">
        <v>235</v>
      </c>
      <c r="B153" s="262" t="s">
        <v>59</v>
      </c>
      <c r="C153" s="798"/>
      <c r="D153" s="797"/>
      <c r="E153" s="797"/>
      <c r="F153" s="797"/>
      <c r="G153" s="797"/>
      <c r="H153" s="797"/>
      <c r="I153" s="797"/>
      <c r="J153" s="797"/>
    </row>
    <row r="154" spans="1:10" hidden="1" x14ac:dyDescent="0.2"/>
    <row r="155" spans="1:10" hidden="1" x14ac:dyDescent="0.2">
      <c r="A155" s="58" t="s">
        <v>415</v>
      </c>
      <c r="C155" s="58" t="s">
        <v>297</v>
      </c>
    </row>
    <row r="156" spans="1:10" ht="27.75" hidden="1" customHeight="1" x14ac:dyDescent="0.2">
      <c r="A156" s="1638"/>
      <c r="B156" s="1639"/>
      <c r="C156" s="799"/>
      <c r="D156" s="799"/>
      <c r="E156" s="799"/>
      <c r="F156" s="799"/>
      <c r="G156" s="799"/>
      <c r="H156" s="799"/>
      <c r="I156" s="799"/>
      <c r="J156" s="799"/>
    </row>
    <row r="157" spans="1:10" ht="27.75" hidden="1" customHeight="1" x14ac:dyDescent="0.2">
      <c r="A157" s="1638"/>
      <c r="B157" s="1639"/>
      <c r="C157" s="799"/>
      <c r="D157" s="799"/>
      <c r="E157" s="799"/>
      <c r="F157" s="799"/>
      <c r="G157" s="799"/>
      <c r="H157" s="799"/>
      <c r="I157" s="799"/>
      <c r="J157" s="799"/>
    </row>
    <row r="158" spans="1:10" ht="27.75" hidden="1" customHeight="1" x14ac:dyDescent="0.2">
      <c r="A158" s="1638"/>
      <c r="B158" s="1639"/>
      <c r="C158" s="799"/>
      <c r="D158" s="799"/>
      <c r="E158" s="799"/>
      <c r="F158" s="799"/>
      <c r="G158" s="799"/>
      <c r="H158" s="799"/>
      <c r="I158" s="799"/>
      <c r="J158" s="799"/>
    </row>
    <row r="159" spans="1:10" ht="27.75" hidden="1" customHeight="1" x14ac:dyDescent="0.2">
      <c r="A159" s="1638"/>
      <c r="B159" s="1639"/>
      <c r="C159" s="799"/>
      <c r="D159" s="799"/>
      <c r="E159" s="799"/>
      <c r="F159" s="799"/>
      <c r="G159" s="799"/>
      <c r="H159" s="799"/>
      <c r="I159" s="799"/>
      <c r="J159" s="799"/>
    </row>
    <row r="160" spans="1:10" ht="27.75" hidden="1" customHeight="1" x14ac:dyDescent="0.2">
      <c r="A160" s="1638"/>
      <c r="B160" s="1639"/>
      <c r="C160" s="799"/>
      <c r="D160" s="799"/>
      <c r="E160" s="799"/>
      <c r="F160" s="799"/>
      <c r="G160" s="799"/>
      <c r="H160" s="799"/>
      <c r="I160" s="799"/>
      <c r="J160" s="799"/>
    </row>
    <row r="161" spans="1:10" ht="27.75" hidden="1" customHeight="1" x14ac:dyDescent="0.2">
      <c r="A161" s="1638"/>
      <c r="B161" s="1639"/>
      <c r="C161" s="799"/>
      <c r="D161" s="799"/>
      <c r="E161" s="799"/>
      <c r="F161" s="799"/>
      <c r="G161" s="799"/>
      <c r="H161" s="799"/>
      <c r="I161" s="799"/>
      <c r="J161" s="799"/>
    </row>
    <row r="162" spans="1:10" ht="27.75" hidden="1" customHeight="1" x14ac:dyDescent="0.2">
      <c r="A162" s="1638"/>
      <c r="B162" s="1639"/>
      <c r="C162" s="799"/>
      <c r="D162" s="799"/>
      <c r="E162" s="799"/>
      <c r="F162" s="799"/>
      <c r="G162" s="799"/>
      <c r="H162" s="799"/>
      <c r="I162" s="799"/>
      <c r="J162" s="799"/>
    </row>
    <row r="163" spans="1:10" hidden="1" x14ac:dyDescent="0.2"/>
    <row r="164" spans="1:10" hidden="1" x14ac:dyDescent="0.2">
      <c r="A164" s="829" t="s">
        <v>228</v>
      </c>
    </row>
    <row r="165" spans="1:10" hidden="1" x14ac:dyDescent="0.2">
      <c r="A165" s="829"/>
    </row>
    <row r="166" spans="1:10" ht="100.5" hidden="1" customHeight="1" x14ac:dyDescent="0.2">
      <c r="A166" s="238" t="s">
        <v>229</v>
      </c>
      <c r="B166" s="262" t="s">
        <v>59</v>
      </c>
      <c r="C166" s="798"/>
      <c r="D166" s="797"/>
      <c r="E166" s="797"/>
      <c r="F166" s="797"/>
      <c r="G166" s="797"/>
      <c r="H166" s="797"/>
      <c r="I166" s="797"/>
      <c r="J166" s="797"/>
    </row>
    <row r="167" spans="1:10" hidden="1" x14ac:dyDescent="0.2"/>
    <row r="168" spans="1:10" hidden="1" x14ac:dyDescent="0.2">
      <c r="A168" s="58" t="s">
        <v>415</v>
      </c>
      <c r="C168" s="58" t="s">
        <v>297</v>
      </c>
    </row>
    <row r="169" spans="1:10" ht="27.75" hidden="1" customHeight="1" x14ac:dyDescent="0.2">
      <c r="A169" s="1638"/>
      <c r="B169" s="1639"/>
      <c r="C169" s="799"/>
      <c r="D169" s="799"/>
      <c r="E169" s="799"/>
      <c r="F169" s="799"/>
      <c r="G169" s="799"/>
      <c r="H169" s="799"/>
      <c r="I169" s="799"/>
      <c r="J169" s="799"/>
    </row>
    <row r="170" spans="1:10" ht="27.75" hidden="1" customHeight="1" x14ac:dyDescent="0.2">
      <c r="A170" s="1638"/>
      <c r="B170" s="1639"/>
      <c r="C170" s="799"/>
      <c r="D170" s="799"/>
      <c r="E170" s="799"/>
      <c r="F170" s="799"/>
      <c r="G170" s="799"/>
      <c r="H170" s="799"/>
      <c r="I170" s="799"/>
      <c r="J170" s="799"/>
    </row>
    <row r="171" spans="1:10" ht="27.75" hidden="1" customHeight="1" x14ac:dyDescent="0.2">
      <c r="A171" s="1638"/>
      <c r="B171" s="1639"/>
      <c r="C171" s="799"/>
      <c r="D171" s="799"/>
      <c r="E171" s="799"/>
      <c r="F171" s="799"/>
      <c r="G171" s="799"/>
      <c r="H171" s="799"/>
      <c r="I171" s="799"/>
      <c r="J171" s="799"/>
    </row>
    <row r="172" spans="1:10" ht="27.75" hidden="1" customHeight="1" x14ac:dyDescent="0.2">
      <c r="A172" s="1638"/>
      <c r="B172" s="1639"/>
      <c r="C172" s="799"/>
      <c r="D172" s="799"/>
      <c r="E172" s="799"/>
      <c r="F172" s="799"/>
      <c r="G172" s="799"/>
      <c r="H172" s="799"/>
      <c r="I172" s="799"/>
      <c r="J172" s="799"/>
    </row>
    <row r="173" spans="1:10" ht="27.75" hidden="1" customHeight="1" x14ac:dyDescent="0.2">
      <c r="A173" s="1638"/>
      <c r="B173" s="1639"/>
      <c r="C173" s="799"/>
      <c r="D173" s="799"/>
      <c r="E173" s="799"/>
      <c r="F173" s="799"/>
      <c r="G173" s="799"/>
      <c r="H173" s="799"/>
      <c r="I173" s="799"/>
      <c r="J173" s="799"/>
    </row>
    <row r="174" spans="1:10" ht="27.75" hidden="1" customHeight="1" x14ac:dyDescent="0.2">
      <c r="A174" s="1638"/>
      <c r="B174" s="1639"/>
      <c r="C174" s="799"/>
      <c r="D174" s="799"/>
      <c r="E174" s="799"/>
      <c r="F174" s="799"/>
      <c r="G174" s="799"/>
      <c r="H174" s="799"/>
      <c r="I174" s="799"/>
      <c r="J174" s="799"/>
    </row>
    <row r="175" spans="1:10" ht="27.75" hidden="1" customHeight="1" x14ac:dyDescent="0.2">
      <c r="A175" s="1638"/>
      <c r="B175" s="1639"/>
      <c r="C175" s="799"/>
      <c r="D175" s="799"/>
      <c r="E175" s="799"/>
      <c r="F175" s="799"/>
      <c r="G175" s="799"/>
      <c r="H175" s="799"/>
      <c r="I175" s="799"/>
      <c r="J175" s="799"/>
    </row>
    <row r="177" spans="1:2" ht="12.75" hidden="1" customHeight="1" x14ac:dyDescent="0.2">
      <c r="A177" s="58" t="s">
        <v>784</v>
      </c>
      <c r="B177" s="58" t="s">
        <v>784</v>
      </c>
    </row>
    <row r="178" spans="1:2" ht="12.75" hidden="1" customHeight="1" x14ac:dyDescent="0.2">
      <c r="A178" s="58" t="s">
        <v>155</v>
      </c>
      <c r="B178" s="58" t="s">
        <v>155</v>
      </c>
    </row>
    <row r="179" spans="1:2" ht="12.75" hidden="1" customHeight="1" x14ac:dyDescent="0.2">
      <c r="A179" s="58" t="s">
        <v>156</v>
      </c>
      <c r="B179" s="58" t="s">
        <v>156</v>
      </c>
    </row>
    <row r="180" spans="1:2" ht="12.75" hidden="1" customHeight="1" x14ac:dyDescent="0.2">
      <c r="B180" s="58" t="s">
        <v>97</v>
      </c>
    </row>
  </sheetData>
  <sheetProtection algorithmName="SHA-512" hashValue="xvpydd6wAfeEtdVqUZ1Jhm9LphJJsQE6Iux+x05NHeoMIRm7Ct5sUVD7z4BLl8U9WJ1vkGQ3TSCtrIypGBp7xw==" saltValue="tJxsOz657Ofkz+y6xNdU9g==" spinCount="100000" sheet="1" objects="1" scenarios="1"/>
  <mergeCells count="63">
    <mergeCell ref="A143:B143"/>
    <mergeCell ref="C1:F1"/>
    <mergeCell ref="A44:F44"/>
    <mergeCell ref="A43:F43"/>
    <mergeCell ref="H43:J44"/>
    <mergeCell ref="A136:B136"/>
    <mergeCell ref="A137:B137"/>
    <mergeCell ref="A82:J82"/>
    <mergeCell ref="C2:F2"/>
    <mergeCell ref="C3:F3"/>
    <mergeCell ref="C4:F4"/>
    <mergeCell ref="C5:F5"/>
    <mergeCell ref="A101:B101"/>
    <mergeCell ref="C6:F6"/>
    <mergeCell ref="A98:B98"/>
    <mergeCell ref="A99:B99"/>
    <mergeCell ref="A175:B175"/>
    <mergeCell ref="A169:B169"/>
    <mergeCell ref="A170:B170"/>
    <mergeCell ref="A171:B171"/>
    <mergeCell ref="A172:B172"/>
    <mergeCell ref="A174:B174"/>
    <mergeCell ref="A173:B173"/>
    <mergeCell ref="A100:B100"/>
    <mergeCell ref="A20:J20"/>
    <mergeCell ref="A22:J22"/>
    <mergeCell ref="A37:B37"/>
    <mergeCell ref="A41:B41"/>
    <mergeCell ref="C81:J81"/>
    <mergeCell ref="A26:J26"/>
    <mergeCell ref="A77:J77"/>
    <mergeCell ref="A10:F10"/>
    <mergeCell ref="A11:F11"/>
    <mergeCell ref="A125:B125"/>
    <mergeCell ref="A119:B119"/>
    <mergeCell ref="A120:B120"/>
    <mergeCell ref="A121:B121"/>
    <mergeCell ref="A122:B122"/>
    <mergeCell ref="A117:B117"/>
    <mergeCell ref="A102:B102"/>
    <mergeCell ref="A103:B103"/>
    <mergeCell ref="A104:B104"/>
    <mergeCell ref="A105:B105"/>
    <mergeCell ref="A124:B124"/>
    <mergeCell ref="A106:B106"/>
    <mergeCell ref="A107:B107"/>
    <mergeCell ref="A116:B116"/>
    <mergeCell ref="A118:B118"/>
    <mergeCell ref="A123:B123"/>
    <mergeCell ref="A157:B157"/>
    <mergeCell ref="A158:B158"/>
    <mergeCell ref="A162:B162"/>
    <mergeCell ref="A156:B156"/>
    <mergeCell ref="A159:B159"/>
    <mergeCell ref="A160:B160"/>
    <mergeCell ref="A161:B161"/>
    <mergeCell ref="A138:B138"/>
    <mergeCell ref="A139:B139"/>
    <mergeCell ref="A144:B144"/>
    <mergeCell ref="A145:B145"/>
    <mergeCell ref="A140:B140"/>
    <mergeCell ref="A141:B141"/>
    <mergeCell ref="A142:B142"/>
  </mergeCells>
  <phoneticPr fontId="12" type="noConversion"/>
  <conditionalFormatting sqref="A1:XFD1048576">
    <cfRule type="cellIs" dxfId="15" priority="1" operator="equal">
      <formula>"Answer Required"</formula>
    </cfRule>
  </conditionalFormatting>
  <dataValidations count="7">
    <dataValidation type="whole" allowBlank="1" showInputMessage="1" showErrorMessage="1" error="Enter whole number." sqref="C50:J50 C70:J70 C63:J63 C55:J55" xr:uid="{00000000-0002-0000-1900-000000000000}">
      <formula1>-1000000000000000</formula1>
      <formula2>1000000000000000</formula2>
    </dataValidation>
    <dataValidation type="list" allowBlank="1" showInputMessage="1" showErrorMessage="1" error="Enter yes or no." sqref="C153:J153 C166:J166 C54:J54 C48:J49 C66:J66 C58:J58" xr:uid="{00000000-0002-0000-1900-000001000000}">
      <formula1>$A$178:$A$179</formula1>
    </dataValidation>
    <dataValidation type="list" allowBlank="1" showInputMessage="1" showErrorMessage="1" error="Enter yes, no, or n/a." sqref="C90:J90 C80:J80 C74:J74 C40:J40" xr:uid="{00000000-0002-0000-1900-000002000000}">
      <formula1>$B$178:$B$180</formula1>
    </dataValidation>
    <dataValidation type="whole" allowBlank="1" showErrorMessage="1" error="Enter whole number." sqref="C169:J175 C98:J107 C116:J125 C156:J162 C136:J145" xr:uid="{00000000-0002-0000-1900-000003000000}">
      <formula1>-1000000000000000</formula1>
      <formula2>10000000000000000</formula2>
    </dataValidation>
    <dataValidation allowBlank="1" showInputMessage="1" showErrorMessage="1" error="Enter yes, no, or na (not applicable)." sqref="B91:IV91" xr:uid="{00000000-0002-0000-1900-000004000000}"/>
    <dataValidation type="whole" allowBlank="1" showInputMessage="1" showErrorMessage="1" error="Enter a 3-digit agency control number." sqref="C1:F1" xr:uid="{00000000-0002-0000-1900-000005000000}">
      <formula1>100</formula1>
      <formula2>999</formula2>
    </dataValidation>
    <dataValidation type="list" allowBlank="1" showInputMessage="1" showErrorMessage="1" error="Enter yes, no, or n/a" sqref="C19:J19 C86:J86 C35:J36 C24:J24" xr:uid="{00000000-0002-0000-1900-000006000000}">
      <formula1>$B$178:$B$180</formula1>
    </dataValidation>
  </dataValidations>
  <pageMargins left="0.7" right="0.7" top="1" bottom="0.75" header="0.3" footer="0.3"/>
  <pageSetup paperSize="5" scale="62" fitToWidth="0" fitToHeight="0" orientation="landscape" cellComments="asDisplayed" r:id="rId1"/>
  <headerFooter alignWithMargins="0">
    <oddHeader xml:space="preserve">&amp;C&amp;"Arial,Bold"Attachment HE-10
Financial Statement Template
&amp;A
&amp;"Arial,Regular"
</oddHeader>
    <oddFooter>&amp;L&amp;"Arial,Regular"&amp;F \ &amp;A&amp;R&amp;"Arial,Regular"Page &amp;P</oddFooter>
  </headerFooter>
  <rowBreaks count="4" manualBreakCount="4">
    <brk id="31" max="9" man="1"/>
    <brk id="44" max="9" man="1"/>
    <brk id="111" max="9" man="1"/>
    <brk id="129"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68"/>
  <sheetViews>
    <sheetView showGridLines="0" zoomScaleNormal="100" zoomScaleSheetLayoutView="75" workbookViewId="0"/>
  </sheetViews>
  <sheetFormatPr defaultColWidth="10.6640625" defaultRowHeight="12.75" x14ac:dyDescent="0.2"/>
  <cols>
    <col min="1" max="1" width="31.33203125" style="58" customWidth="1"/>
    <col min="2" max="2" width="14.83203125" style="58" customWidth="1"/>
    <col min="3" max="8" width="16.83203125" style="58" customWidth="1"/>
    <col min="9" max="9" width="18.1640625" style="58" customWidth="1"/>
    <col min="10" max="10" width="18.33203125" style="58" customWidth="1"/>
    <col min="11" max="11" width="17.83203125" style="58" customWidth="1"/>
    <col min="12" max="12" width="16.5" style="58" customWidth="1"/>
    <col min="13" max="16384" width="10.6640625" style="58"/>
  </cols>
  <sheetData>
    <row r="1" spans="1:11" x14ac:dyDescent="0.2">
      <c r="A1" s="824" t="s">
        <v>1155</v>
      </c>
      <c r="C1" s="1546">
        <f>FST!E1</f>
        <v>0</v>
      </c>
      <c r="D1" s="1651"/>
      <c r="E1" s="1651"/>
      <c r="F1" s="1651"/>
    </row>
    <row r="2" spans="1:11" s="33" customFormat="1" ht="38.25" customHeight="1" x14ac:dyDescent="0.2">
      <c r="A2" s="824" t="s">
        <v>770</v>
      </c>
      <c r="B2" s="31"/>
      <c r="C2" s="1546" t="str">
        <f>FST!E2</f>
        <v/>
      </c>
      <c r="D2" s="1651"/>
      <c r="E2" s="1651"/>
      <c r="F2" s="1651"/>
      <c r="G2" s="835"/>
      <c r="H2" s="285"/>
      <c r="I2" s="285"/>
      <c r="J2" s="285"/>
    </row>
    <row r="3" spans="1:11" s="33" customFormat="1" x14ac:dyDescent="0.2">
      <c r="A3" s="824" t="s">
        <v>771</v>
      </c>
      <c r="B3" s="220"/>
      <c r="C3" s="1556">
        <f>FST!E3</f>
        <v>0</v>
      </c>
      <c r="D3" s="1657"/>
      <c r="E3" s="1657"/>
      <c r="F3" s="1657"/>
      <c r="G3" s="835"/>
      <c r="H3" s="285"/>
      <c r="I3" s="285"/>
      <c r="J3" s="285"/>
    </row>
    <row r="4" spans="1:11" s="33" customFormat="1" x14ac:dyDescent="0.2">
      <c r="A4" s="824" t="s">
        <v>773</v>
      </c>
      <c r="B4" s="220"/>
      <c r="C4" s="1558">
        <f>FST!E4</f>
        <v>0</v>
      </c>
      <c r="D4" s="1658"/>
      <c r="E4" s="1658"/>
      <c r="F4" s="1658"/>
      <c r="G4" s="835"/>
      <c r="H4" s="285"/>
      <c r="I4" s="285"/>
      <c r="J4" s="285"/>
    </row>
    <row r="5" spans="1:11" s="33" customFormat="1" x14ac:dyDescent="0.2">
      <c r="A5" s="825" t="s">
        <v>774</v>
      </c>
      <c r="B5" s="220"/>
      <c r="C5" s="1556">
        <f>FST!E5</f>
        <v>0</v>
      </c>
      <c r="D5" s="1657"/>
      <c r="E5" s="1657"/>
      <c r="F5" s="1657"/>
      <c r="G5" s="835"/>
      <c r="H5" s="285"/>
      <c r="I5" s="285"/>
      <c r="J5" s="285"/>
    </row>
    <row r="6" spans="1:11" s="33" customFormat="1" x14ac:dyDescent="0.2">
      <c r="A6" s="826" t="s">
        <v>775</v>
      </c>
      <c r="B6" s="220"/>
      <c r="C6" s="1553">
        <f>FST!E6</f>
        <v>0</v>
      </c>
      <c r="D6" s="1659"/>
      <c r="E6" s="1659"/>
      <c r="F6" s="1659"/>
      <c r="G6" s="835"/>
      <c r="H6" s="286"/>
      <c r="I6" s="286"/>
      <c r="J6" s="286"/>
    </row>
    <row r="7" spans="1:11" s="33" customFormat="1" ht="12" x14ac:dyDescent="0.2">
      <c r="A7" s="67" t="s">
        <v>545</v>
      </c>
      <c r="B7" s="34"/>
    </row>
    <row r="8" spans="1:11" s="33" customFormat="1" ht="12" x14ac:dyDescent="0.2">
      <c r="A8" s="827"/>
      <c r="B8" s="34"/>
    </row>
    <row r="9" spans="1:11" s="33" customFormat="1" ht="12" x14ac:dyDescent="0.2">
      <c r="A9" s="827"/>
      <c r="B9" s="34"/>
    </row>
    <row r="10" spans="1:11" s="33" customFormat="1" x14ac:dyDescent="0.2">
      <c r="A10" s="1263" t="s">
        <v>53</v>
      </c>
      <c r="B10" s="1641"/>
      <c r="C10" s="1641"/>
      <c r="D10" s="1641"/>
      <c r="E10" s="1641"/>
      <c r="F10" s="1641"/>
      <c r="G10" s="976"/>
      <c r="H10" s="976"/>
      <c r="I10" s="976"/>
      <c r="J10" s="976"/>
      <c r="K10" s="976"/>
    </row>
    <row r="11" spans="1:11" s="33" customFormat="1" ht="24.75" customHeight="1" x14ac:dyDescent="0.2">
      <c r="A11" s="1271" t="s">
        <v>1358</v>
      </c>
      <c r="B11" s="1641"/>
      <c r="C11" s="1641"/>
      <c r="D11" s="1641"/>
      <c r="E11" s="1641"/>
      <c r="F11" s="1641"/>
    </row>
    <row r="12" spans="1:11" s="33" customFormat="1" ht="15" customHeight="1" x14ac:dyDescent="0.2">
      <c r="A12" s="870"/>
      <c r="B12" s="836"/>
      <c r="C12" s="836"/>
      <c r="D12" s="836"/>
      <c r="E12" s="836"/>
      <c r="F12" s="836"/>
      <c r="G12" s="36"/>
      <c r="H12" s="36"/>
      <c r="I12" s="36"/>
      <c r="J12" s="36"/>
    </row>
    <row r="13" spans="1:11" s="222" customFormat="1" x14ac:dyDescent="0.2">
      <c r="B13" s="223"/>
    </row>
    <row r="14" spans="1:11" s="222" customFormat="1" x14ac:dyDescent="0.2">
      <c r="A14" s="228" t="s">
        <v>546</v>
      </c>
      <c r="B14" s="223"/>
    </row>
    <row r="15" spans="1:11" s="222" customFormat="1" ht="16.5" customHeight="1" x14ac:dyDescent="0.2">
      <c r="A15" s="834" t="s">
        <v>1391</v>
      </c>
      <c r="B15" s="223"/>
    </row>
    <row r="16" spans="1:11" s="222" customFormat="1" ht="20.25" customHeight="1" x14ac:dyDescent="0.2">
      <c r="A16" s="834" t="s">
        <v>939</v>
      </c>
      <c r="B16" s="223"/>
    </row>
    <row r="17" spans="1:11" s="222" customFormat="1" x14ac:dyDescent="0.2">
      <c r="A17" s="483" t="s">
        <v>547</v>
      </c>
      <c r="B17" s="223"/>
    </row>
    <row r="18" spans="1:11" s="222" customFormat="1" x14ac:dyDescent="0.2">
      <c r="A18" s="483"/>
      <c r="B18" s="223"/>
    </row>
    <row r="19" spans="1:11" s="222" customFormat="1" ht="14.25" customHeight="1" x14ac:dyDescent="0.2">
      <c r="A19" s="222" t="s">
        <v>563</v>
      </c>
      <c r="B19" s="223"/>
    </row>
    <row r="20" spans="1:11" s="222" customFormat="1" ht="11.25" customHeight="1" x14ac:dyDescent="0.2">
      <c r="A20" s="222" t="s">
        <v>601</v>
      </c>
      <c r="B20" s="223"/>
    </row>
    <row r="21" spans="1:11" s="222" customFormat="1" ht="7.5" customHeight="1" x14ac:dyDescent="0.2">
      <c r="A21" s="225"/>
      <c r="B21" s="223"/>
    </row>
    <row r="22" spans="1:11" s="222" customFormat="1" ht="7.5" customHeight="1" x14ac:dyDescent="0.2">
      <c r="A22" s="225"/>
      <c r="B22" s="223"/>
    </row>
    <row r="23" spans="1:11" s="222" customFormat="1" ht="7.5" customHeight="1" x14ac:dyDescent="0.2">
      <c r="A23" s="225"/>
      <c r="B23" s="223"/>
    </row>
    <row r="24" spans="1:11" ht="57.95" customHeight="1" x14ac:dyDescent="0.2">
      <c r="A24" s="58" t="s">
        <v>54</v>
      </c>
      <c r="B24" s="224"/>
      <c r="C24" s="313">
        <f>'Combining FST'!G19</f>
        <v>0</v>
      </c>
      <c r="D24" s="313">
        <f>'Combining FST'!H19</f>
        <v>0</v>
      </c>
      <c r="E24" s="313">
        <f>'Combining FST'!I19</f>
        <v>0</v>
      </c>
      <c r="F24" s="313">
        <f>'Combining FST'!J19</f>
        <v>0</v>
      </c>
      <c r="G24" s="313">
        <f>'Combining FST'!K19</f>
        <v>0</v>
      </c>
      <c r="H24" s="313">
        <f>'Combining FST'!L19</f>
        <v>0</v>
      </c>
      <c r="I24" s="313">
        <f>'Combining FST'!M19</f>
        <v>0</v>
      </c>
      <c r="J24" s="313">
        <f>'Combining FST'!N19</f>
        <v>0</v>
      </c>
    </row>
    <row r="25" spans="1:11" x14ac:dyDescent="0.2">
      <c r="A25" s="828" t="s">
        <v>184</v>
      </c>
      <c r="B25" s="224"/>
      <c r="C25" s="537">
        <f>'Combining FST'!G20</f>
        <v>0</v>
      </c>
      <c r="D25" s="537">
        <f>'Combining FST'!H20</f>
        <v>0</v>
      </c>
      <c r="E25" s="537">
        <f>'Combining FST'!I20</f>
        <v>0</v>
      </c>
      <c r="F25" s="537">
        <f>'Combining FST'!J20</f>
        <v>0</v>
      </c>
      <c r="G25" s="537">
        <f>'Combining FST'!K20</f>
        <v>0</v>
      </c>
      <c r="H25" s="537">
        <f>'Combining FST'!L20</f>
        <v>0</v>
      </c>
      <c r="I25" s="537">
        <f>'Combining FST'!M20</f>
        <v>0</v>
      </c>
      <c r="J25" s="537">
        <f>'Combining FST'!N20</f>
        <v>0</v>
      </c>
    </row>
    <row r="26" spans="1:11" s="222" customFormat="1" x14ac:dyDescent="0.2">
      <c r="A26" s="833"/>
      <c r="B26" s="223"/>
    </row>
    <row r="27" spans="1:11" s="222" customFormat="1" ht="15.75" customHeight="1" x14ac:dyDescent="0.2">
      <c r="A27" s="222" t="s">
        <v>796</v>
      </c>
      <c r="B27" s="223"/>
    </row>
    <row r="28" spans="1:11" s="222" customFormat="1" x14ac:dyDescent="0.2">
      <c r="A28" s="225" t="s">
        <v>548</v>
      </c>
      <c r="B28" s="223"/>
      <c r="C28" s="230" t="s">
        <v>503</v>
      </c>
      <c r="D28" s="230" t="s">
        <v>503</v>
      </c>
      <c r="E28" s="230" t="s">
        <v>503</v>
      </c>
      <c r="F28" s="230" t="s">
        <v>503</v>
      </c>
      <c r="G28" s="230" t="s">
        <v>503</v>
      </c>
      <c r="H28" s="230" t="s">
        <v>503</v>
      </c>
      <c r="I28" s="230" t="s">
        <v>503</v>
      </c>
      <c r="J28" s="230" t="s">
        <v>503</v>
      </c>
      <c r="K28" s="230" t="s">
        <v>373</v>
      </c>
    </row>
    <row r="29" spans="1:11" s="222" customFormat="1" x14ac:dyDescent="0.2">
      <c r="A29" s="675"/>
      <c r="B29" s="223"/>
      <c r="C29" s="288"/>
      <c r="D29" s="288"/>
      <c r="E29" s="288"/>
      <c r="F29" s="288"/>
      <c r="G29" s="288"/>
      <c r="H29" s="288"/>
      <c r="I29" s="288"/>
      <c r="J29" s="288"/>
      <c r="K29" s="235">
        <f t="shared" ref="K29:K46" si="0">SUM(C29:J29)</f>
        <v>0</v>
      </c>
    </row>
    <row r="30" spans="1:11" x14ac:dyDescent="0.2">
      <c r="A30" s="830"/>
      <c r="C30" s="288"/>
      <c r="D30" s="288"/>
      <c r="E30" s="288"/>
      <c r="F30" s="288"/>
      <c r="G30" s="288"/>
      <c r="H30" s="288"/>
      <c r="I30" s="288"/>
      <c r="J30" s="288"/>
      <c r="K30" s="235">
        <f t="shared" si="0"/>
        <v>0</v>
      </c>
    </row>
    <row r="31" spans="1:11" x14ac:dyDescent="0.2">
      <c r="A31" s="830"/>
      <c r="C31" s="288"/>
      <c r="D31" s="288"/>
      <c r="E31" s="288"/>
      <c r="F31" s="288"/>
      <c r="G31" s="288"/>
      <c r="H31" s="288"/>
      <c r="I31" s="288"/>
      <c r="J31" s="288"/>
      <c r="K31" s="235">
        <f t="shared" si="0"/>
        <v>0</v>
      </c>
    </row>
    <row r="32" spans="1:11" x14ac:dyDescent="0.2">
      <c r="A32" s="830"/>
      <c r="C32" s="288"/>
      <c r="D32" s="288"/>
      <c r="E32" s="288"/>
      <c r="F32" s="288"/>
      <c r="G32" s="288"/>
      <c r="H32" s="288"/>
      <c r="I32" s="288"/>
      <c r="J32" s="288"/>
      <c r="K32" s="235">
        <f t="shared" si="0"/>
        <v>0</v>
      </c>
    </row>
    <row r="33" spans="1:11" x14ac:dyDescent="0.2">
      <c r="A33" s="830"/>
      <c r="C33" s="288"/>
      <c r="D33" s="288"/>
      <c r="E33" s="288"/>
      <c r="F33" s="288"/>
      <c r="G33" s="288"/>
      <c r="H33" s="288"/>
      <c r="I33" s="288"/>
      <c r="J33" s="288"/>
      <c r="K33" s="235">
        <f t="shared" si="0"/>
        <v>0</v>
      </c>
    </row>
    <row r="34" spans="1:11" x14ac:dyDescent="0.2">
      <c r="A34" s="830"/>
      <c r="C34" s="288"/>
      <c r="D34" s="288"/>
      <c r="E34" s="288"/>
      <c r="F34" s="288"/>
      <c r="G34" s="288"/>
      <c r="H34" s="288"/>
      <c r="I34" s="288"/>
      <c r="J34" s="288"/>
      <c r="K34" s="235">
        <f t="shared" si="0"/>
        <v>0</v>
      </c>
    </row>
    <row r="35" spans="1:11" x14ac:dyDescent="0.2">
      <c r="A35" s="830"/>
      <c r="C35" s="288"/>
      <c r="D35" s="288"/>
      <c r="E35" s="288"/>
      <c r="F35" s="288"/>
      <c r="G35" s="288"/>
      <c r="H35" s="288"/>
      <c r="I35" s="288"/>
      <c r="J35" s="288"/>
      <c r="K35" s="235">
        <f t="shared" si="0"/>
        <v>0</v>
      </c>
    </row>
    <row r="36" spans="1:11" x14ac:dyDescent="0.2">
      <c r="A36" s="830"/>
      <c r="C36" s="288"/>
      <c r="D36" s="288"/>
      <c r="E36" s="288"/>
      <c r="F36" s="288"/>
      <c r="G36" s="288"/>
      <c r="H36" s="288"/>
      <c r="I36" s="288"/>
      <c r="J36" s="288"/>
      <c r="K36" s="235">
        <f t="shared" si="0"/>
        <v>0</v>
      </c>
    </row>
    <row r="37" spans="1:11" x14ac:dyDescent="0.2">
      <c r="A37" s="830"/>
      <c r="C37" s="288"/>
      <c r="D37" s="288"/>
      <c r="E37" s="288"/>
      <c r="F37" s="288"/>
      <c r="G37" s="288"/>
      <c r="H37" s="288"/>
      <c r="I37" s="288"/>
      <c r="J37" s="288"/>
      <c r="K37" s="235">
        <f t="shared" si="0"/>
        <v>0</v>
      </c>
    </row>
    <row r="38" spans="1:11" x14ac:dyDescent="0.2">
      <c r="A38" s="830"/>
      <c r="C38" s="288"/>
      <c r="D38" s="288"/>
      <c r="E38" s="288"/>
      <c r="F38" s="288"/>
      <c r="G38" s="288"/>
      <c r="H38" s="288"/>
      <c r="I38" s="288"/>
      <c r="J38" s="288"/>
      <c r="K38" s="235">
        <f t="shared" si="0"/>
        <v>0</v>
      </c>
    </row>
    <row r="39" spans="1:11" x14ac:dyDescent="0.2">
      <c r="A39" s="830"/>
      <c r="C39" s="288"/>
      <c r="D39" s="288"/>
      <c r="E39" s="288"/>
      <c r="F39" s="288"/>
      <c r="G39" s="288"/>
      <c r="H39" s="288"/>
      <c r="I39" s="288"/>
      <c r="J39" s="288"/>
      <c r="K39" s="235">
        <f t="shared" si="0"/>
        <v>0</v>
      </c>
    </row>
    <row r="40" spans="1:11" x14ac:dyDescent="0.2">
      <c r="A40" s="830"/>
      <c r="C40" s="288"/>
      <c r="D40" s="288"/>
      <c r="E40" s="288"/>
      <c r="F40" s="288"/>
      <c r="G40" s="288"/>
      <c r="H40" s="288"/>
      <c r="I40" s="288"/>
      <c r="J40" s="288"/>
      <c r="K40" s="235">
        <f t="shared" si="0"/>
        <v>0</v>
      </c>
    </row>
    <row r="41" spans="1:11" x14ac:dyDescent="0.2">
      <c r="A41" s="830"/>
      <c r="C41" s="288"/>
      <c r="D41" s="288"/>
      <c r="E41" s="288"/>
      <c r="F41" s="288"/>
      <c r="G41" s="288"/>
      <c r="H41" s="288"/>
      <c r="I41" s="288"/>
      <c r="J41" s="288"/>
      <c r="K41" s="235">
        <f t="shared" si="0"/>
        <v>0</v>
      </c>
    </row>
    <row r="42" spans="1:11" x14ac:dyDescent="0.2">
      <c r="A42" s="830"/>
      <c r="C42" s="288"/>
      <c r="D42" s="288"/>
      <c r="E42" s="288"/>
      <c r="F42" s="288"/>
      <c r="G42" s="288"/>
      <c r="H42" s="288"/>
      <c r="I42" s="288"/>
      <c r="J42" s="288"/>
      <c r="K42" s="235">
        <f t="shared" si="0"/>
        <v>0</v>
      </c>
    </row>
    <row r="43" spans="1:11" x14ac:dyDescent="0.2">
      <c r="A43" s="830"/>
      <c r="C43" s="288"/>
      <c r="D43" s="288"/>
      <c r="E43" s="288"/>
      <c r="F43" s="288"/>
      <c r="G43" s="288"/>
      <c r="H43" s="288"/>
      <c r="I43" s="288"/>
      <c r="J43" s="288"/>
      <c r="K43" s="235">
        <f t="shared" si="0"/>
        <v>0</v>
      </c>
    </row>
    <row r="44" spans="1:11" x14ac:dyDescent="0.2">
      <c r="A44" s="830"/>
      <c r="C44" s="288"/>
      <c r="D44" s="288"/>
      <c r="E44" s="288"/>
      <c r="F44" s="288"/>
      <c r="G44" s="288"/>
      <c r="H44" s="288"/>
      <c r="I44" s="288"/>
      <c r="J44" s="288"/>
      <c r="K44" s="235">
        <f t="shared" si="0"/>
        <v>0</v>
      </c>
    </row>
    <row r="45" spans="1:11" x14ac:dyDescent="0.2">
      <c r="A45" s="830"/>
      <c r="C45" s="288"/>
      <c r="D45" s="288"/>
      <c r="E45" s="288"/>
      <c r="F45" s="288"/>
      <c r="G45" s="288"/>
      <c r="H45" s="288"/>
      <c r="I45" s="288"/>
      <c r="J45" s="288"/>
      <c r="K45" s="235">
        <f t="shared" si="0"/>
        <v>0</v>
      </c>
    </row>
    <row r="46" spans="1:11" x14ac:dyDescent="0.2">
      <c r="A46" s="830"/>
      <c r="C46" s="288"/>
      <c r="D46" s="288"/>
      <c r="E46" s="288"/>
      <c r="F46" s="288"/>
      <c r="G46" s="288"/>
      <c r="H46" s="288"/>
      <c r="I46" s="288"/>
      <c r="J46" s="288"/>
      <c r="K46" s="235">
        <f t="shared" si="0"/>
        <v>0</v>
      </c>
    </row>
    <row r="49" spans="1:11" s="222" customFormat="1" ht="22.5" customHeight="1" x14ac:dyDescent="0.2">
      <c r="A49" s="222" t="s">
        <v>795</v>
      </c>
      <c r="B49" s="223"/>
    </row>
    <row r="50" spans="1:11" s="222" customFormat="1" x14ac:dyDescent="0.2">
      <c r="A50" s="225" t="s">
        <v>439</v>
      </c>
      <c r="B50" s="223"/>
      <c r="C50" s="230" t="s">
        <v>503</v>
      </c>
      <c r="D50" s="230" t="s">
        <v>503</v>
      </c>
      <c r="E50" s="230" t="s">
        <v>503</v>
      </c>
      <c r="F50" s="230" t="s">
        <v>503</v>
      </c>
      <c r="G50" s="230" t="s">
        <v>503</v>
      </c>
      <c r="H50" s="230" t="s">
        <v>503</v>
      </c>
      <c r="I50" s="230" t="s">
        <v>503</v>
      </c>
      <c r="J50" s="230" t="s">
        <v>503</v>
      </c>
      <c r="K50" s="230" t="s">
        <v>373</v>
      </c>
    </row>
    <row r="51" spans="1:11" s="222" customFormat="1" x14ac:dyDescent="0.2">
      <c r="A51" s="675"/>
      <c r="B51" s="223"/>
      <c r="C51" s="288"/>
      <c r="D51" s="288"/>
      <c r="E51" s="288"/>
      <c r="F51" s="288"/>
      <c r="G51" s="288"/>
      <c r="H51" s="288"/>
      <c r="I51" s="288"/>
      <c r="J51" s="288"/>
      <c r="K51" s="235">
        <f t="shared" ref="K51:K68" si="1">SUM(C51:J51)</f>
        <v>0</v>
      </c>
    </row>
    <row r="52" spans="1:11" x14ac:dyDescent="0.2">
      <c r="A52" s="830"/>
      <c r="C52" s="288"/>
      <c r="D52" s="288"/>
      <c r="E52" s="288"/>
      <c r="F52" s="288"/>
      <c r="G52" s="288"/>
      <c r="H52" s="288"/>
      <c r="I52" s="288"/>
      <c r="J52" s="288"/>
      <c r="K52" s="235">
        <f t="shared" si="1"/>
        <v>0</v>
      </c>
    </row>
    <row r="53" spans="1:11" x14ac:dyDescent="0.2">
      <c r="A53" s="830"/>
      <c r="C53" s="288"/>
      <c r="D53" s="288"/>
      <c r="E53" s="288"/>
      <c r="F53" s="288"/>
      <c r="G53" s="288"/>
      <c r="H53" s="288"/>
      <c r="I53" s="288"/>
      <c r="J53" s="288"/>
      <c r="K53" s="235">
        <f t="shared" si="1"/>
        <v>0</v>
      </c>
    </row>
    <row r="54" spans="1:11" x14ac:dyDescent="0.2">
      <c r="A54" s="830"/>
      <c r="C54" s="288"/>
      <c r="D54" s="288"/>
      <c r="E54" s="288"/>
      <c r="F54" s="288"/>
      <c r="G54" s="288"/>
      <c r="H54" s="288"/>
      <c r="I54" s="288"/>
      <c r="J54" s="288"/>
      <c r="K54" s="235">
        <f t="shared" si="1"/>
        <v>0</v>
      </c>
    </row>
    <row r="55" spans="1:11" x14ac:dyDescent="0.2">
      <c r="A55" s="830"/>
      <c r="C55" s="288"/>
      <c r="D55" s="288"/>
      <c r="E55" s="288"/>
      <c r="F55" s="288"/>
      <c r="G55" s="288"/>
      <c r="H55" s="288"/>
      <c r="I55" s="288"/>
      <c r="J55" s="288"/>
      <c r="K55" s="235">
        <f t="shared" si="1"/>
        <v>0</v>
      </c>
    </row>
    <row r="56" spans="1:11" x14ac:dyDescent="0.2">
      <c r="A56" s="830"/>
      <c r="C56" s="288"/>
      <c r="D56" s="288"/>
      <c r="E56" s="288"/>
      <c r="F56" s="288"/>
      <c r="G56" s="288"/>
      <c r="H56" s="288"/>
      <c r="I56" s="288"/>
      <c r="J56" s="288"/>
      <c r="K56" s="235">
        <f t="shared" si="1"/>
        <v>0</v>
      </c>
    </row>
    <row r="57" spans="1:11" x14ac:dyDescent="0.2">
      <c r="A57" s="830"/>
      <c r="C57" s="288"/>
      <c r="D57" s="288"/>
      <c r="E57" s="288"/>
      <c r="F57" s="288"/>
      <c r="G57" s="288"/>
      <c r="H57" s="288"/>
      <c r="I57" s="288"/>
      <c r="J57" s="288"/>
      <c r="K57" s="235">
        <f t="shared" si="1"/>
        <v>0</v>
      </c>
    </row>
    <row r="58" spans="1:11" x14ac:dyDescent="0.2">
      <c r="A58" s="830"/>
      <c r="C58" s="288"/>
      <c r="D58" s="288"/>
      <c r="E58" s="288"/>
      <c r="F58" s="288"/>
      <c r="G58" s="288"/>
      <c r="H58" s="288"/>
      <c r="I58" s="288"/>
      <c r="J58" s="288"/>
      <c r="K58" s="235">
        <f t="shared" si="1"/>
        <v>0</v>
      </c>
    </row>
    <row r="59" spans="1:11" x14ac:dyDescent="0.2">
      <c r="A59" s="830"/>
      <c r="C59" s="288"/>
      <c r="D59" s="288"/>
      <c r="E59" s="288"/>
      <c r="F59" s="288"/>
      <c r="G59" s="288"/>
      <c r="H59" s="288"/>
      <c r="I59" s="288"/>
      <c r="J59" s="288"/>
      <c r="K59" s="235">
        <f t="shared" si="1"/>
        <v>0</v>
      </c>
    </row>
    <row r="60" spans="1:11" x14ac:dyDescent="0.2">
      <c r="A60" s="830"/>
      <c r="C60" s="288"/>
      <c r="D60" s="288"/>
      <c r="E60" s="288"/>
      <c r="F60" s="288"/>
      <c r="G60" s="288"/>
      <c r="H60" s="288"/>
      <c r="I60" s="288"/>
      <c r="J60" s="288"/>
      <c r="K60" s="235">
        <f t="shared" si="1"/>
        <v>0</v>
      </c>
    </row>
    <row r="61" spans="1:11" x14ac:dyDescent="0.2">
      <c r="A61" s="830"/>
      <c r="C61" s="288"/>
      <c r="D61" s="288"/>
      <c r="E61" s="288"/>
      <c r="F61" s="288"/>
      <c r="G61" s="288"/>
      <c r="H61" s="288"/>
      <c r="I61" s="288"/>
      <c r="J61" s="288"/>
      <c r="K61" s="235">
        <f t="shared" si="1"/>
        <v>0</v>
      </c>
    </row>
    <row r="62" spans="1:11" x14ac:dyDescent="0.2">
      <c r="A62" s="830"/>
      <c r="C62" s="288"/>
      <c r="D62" s="288"/>
      <c r="E62" s="288"/>
      <c r="F62" s="288"/>
      <c r="G62" s="288"/>
      <c r="H62" s="288"/>
      <c r="I62" s="288"/>
      <c r="J62" s="288"/>
      <c r="K62" s="235">
        <f t="shared" si="1"/>
        <v>0</v>
      </c>
    </row>
    <row r="63" spans="1:11" x14ac:dyDescent="0.2">
      <c r="A63" s="830"/>
      <c r="C63" s="288"/>
      <c r="D63" s="288"/>
      <c r="E63" s="288"/>
      <c r="F63" s="288"/>
      <c r="G63" s="288"/>
      <c r="H63" s="288"/>
      <c r="I63" s="288"/>
      <c r="J63" s="288"/>
      <c r="K63" s="235">
        <f t="shared" si="1"/>
        <v>0</v>
      </c>
    </row>
    <row r="64" spans="1:11" x14ac:dyDescent="0.2">
      <c r="A64" s="830"/>
      <c r="C64" s="288"/>
      <c r="D64" s="288"/>
      <c r="E64" s="288"/>
      <c r="F64" s="288"/>
      <c r="G64" s="288"/>
      <c r="H64" s="288"/>
      <c r="I64" s="288"/>
      <c r="J64" s="288"/>
      <c r="K64" s="235">
        <f t="shared" si="1"/>
        <v>0</v>
      </c>
    </row>
    <row r="65" spans="1:11" x14ac:dyDescent="0.2">
      <c r="A65" s="830"/>
      <c r="C65" s="288"/>
      <c r="D65" s="288"/>
      <c r="E65" s="288"/>
      <c r="F65" s="288"/>
      <c r="G65" s="288"/>
      <c r="H65" s="288"/>
      <c r="I65" s="288"/>
      <c r="J65" s="288"/>
      <c r="K65" s="235">
        <f t="shared" si="1"/>
        <v>0</v>
      </c>
    </row>
    <row r="66" spans="1:11" x14ac:dyDescent="0.2">
      <c r="A66" s="830"/>
      <c r="C66" s="288"/>
      <c r="D66" s="288"/>
      <c r="E66" s="288"/>
      <c r="F66" s="288"/>
      <c r="G66" s="288"/>
      <c r="H66" s="288"/>
      <c r="I66" s="288"/>
      <c r="J66" s="288"/>
      <c r="K66" s="235">
        <f t="shared" si="1"/>
        <v>0</v>
      </c>
    </row>
    <row r="67" spans="1:11" x14ac:dyDescent="0.2">
      <c r="A67" s="830"/>
      <c r="C67" s="288"/>
      <c r="D67" s="288"/>
      <c r="E67" s="288"/>
      <c r="F67" s="288"/>
      <c r="G67" s="288"/>
      <c r="H67" s="288"/>
      <c r="I67" s="288"/>
      <c r="J67" s="288"/>
      <c r="K67" s="235">
        <f t="shared" si="1"/>
        <v>0</v>
      </c>
    </row>
    <row r="68" spans="1:11" x14ac:dyDescent="0.2">
      <c r="A68" s="830"/>
      <c r="C68" s="288"/>
      <c r="D68" s="288"/>
      <c r="E68" s="288"/>
      <c r="F68" s="288"/>
      <c r="G68" s="288"/>
      <c r="H68" s="288"/>
      <c r="I68" s="288"/>
      <c r="J68" s="288"/>
      <c r="K68" s="235">
        <f t="shared" si="1"/>
        <v>0</v>
      </c>
    </row>
  </sheetData>
  <sheetProtection algorithmName="SHA-512" hashValue="j1lokqHOUimhGFKzPCvBv2GG8RtJWC7hOsadaKchDtRcGSg69QeYw1SAP4Rstx8LZFF47ZubZQccSZEXjouJxg==" saltValue="xM8sgFtioljrVqHKMVd8nA==" spinCount="100000" sheet="1" objects="1" scenarios="1"/>
  <mergeCells count="8">
    <mergeCell ref="C1:F1"/>
    <mergeCell ref="A10:F10"/>
    <mergeCell ref="A11:F11"/>
    <mergeCell ref="C2:F2"/>
    <mergeCell ref="C3:F3"/>
    <mergeCell ref="C4:F4"/>
    <mergeCell ref="C5:F5"/>
    <mergeCell ref="C6:F6"/>
  </mergeCells>
  <phoneticPr fontId="12" type="noConversion"/>
  <dataValidations count="2">
    <dataValidation type="whole" allowBlank="1" showInputMessage="1" showErrorMessage="1" error="Enter whole number." sqref="C51:J68 C29:J46" xr:uid="{00000000-0002-0000-1A00-000000000000}">
      <formula1>-100000000000000</formula1>
      <formula2>1000000000000000</formula2>
    </dataValidation>
    <dataValidation type="whole" allowBlank="1" showInputMessage="1" showErrorMessage="1" error="Enter a 3-digit agency control number." sqref="C1:F1" xr:uid="{00000000-0002-0000-1A00-000001000000}">
      <formula1>100</formula1>
      <formula2>999</formula2>
    </dataValidation>
  </dataValidations>
  <pageMargins left="0.7" right="0.7" top="1" bottom="0.75" header="0.3" footer="0.3"/>
  <pageSetup paperSize="5" scale="84" fitToHeight="2" orientation="landscape" r:id="rId1"/>
  <headerFooter alignWithMargins="0">
    <oddHeader xml:space="preserve">&amp;C&amp;"Arial,Bold"Attachment HE-10
Financial Statement Template
&amp;A
&amp;"Arial,Regular"
</oddHeader>
    <oddFooter>&amp;L&amp;"Arial,Regular"&amp;F \ &amp;A&amp;R&amp;"Arial,Regular"Page &amp;P</oddFooter>
  </headerFooter>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67"/>
  <sheetViews>
    <sheetView zoomScale="90" zoomScaleNormal="90" zoomScaleSheetLayoutView="75" workbookViewId="0">
      <selection activeCell="C32" sqref="C32"/>
    </sheetView>
  </sheetViews>
  <sheetFormatPr defaultColWidth="10.6640625" defaultRowHeight="12.75" x14ac:dyDescent="0.2"/>
  <cols>
    <col min="1" max="1" width="21" style="306" customWidth="1"/>
    <col min="2" max="2" width="39.33203125" style="306" customWidth="1"/>
    <col min="3" max="3" width="19.6640625" style="306" customWidth="1"/>
    <col min="4" max="5" width="16.83203125" style="306" customWidth="1"/>
    <col min="6" max="6" width="18.33203125" style="306" customWidth="1"/>
    <col min="7" max="7" width="21.5" style="306" customWidth="1"/>
    <col min="8" max="8" width="8.33203125" style="306" customWidth="1"/>
    <col min="9" max="9" width="1.83203125" style="306" customWidth="1"/>
    <col min="10" max="16384" width="10.6640625" style="306"/>
  </cols>
  <sheetData>
    <row r="1" spans="1:10" x14ac:dyDescent="0.2">
      <c r="A1" s="824" t="s">
        <v>1155</v>
      </c>
      <c r="C1" s="1546">
        <f>FST!E1</f>
        <v>0</v>
      </c>
      <c r="D1" s="1666"/>
      <c r="E1" s="1666"/>
      <c r="F1" s="1666"/>
    </row>
    <row r="2" spans="1:10" s="33" customFormat="1" ht="37.5" customHeight="1" x14ac:dyDescent="0.2">
      <c r="A2" s="824" t="s">
        <v>770</v>
      </c>
      <c r="B2" s="31"/>
      <c r="C2" s="1546" t="str">
        <f>FST!E2</f>
        <v/>
      </c>
      <c r="D2" s="1666"/>
      <c r="E2" s="1666"/>
      <c r="F2" s="1666"/>
    </row>
    <row r="3" spans="1:10" s="33" customFormat="1" ht="13.5" customHeight="1" x14ac:dyDescent="0.2">
      <c r="A3" s="824" t="s">
        <v>771</v>
      </c>
      <c r="B3" s="220"/>
      <c r="C3" s="1556">
        <f>FST!E3</f>
        <v>0</v>
      </c>
      <c r="D3" s="1660"/>
      <c r="E3" s="1660"/>
      <c r="F3" s="1660"/>
    </row>
    <row r="4" spans="1:10" s="33" customFormat="1" ht="12.6" customHeight="1" x14ac:dyDescent="0.2">
      <c r="A4" s="824" t="s">
        <v>773</v>
      </c>
      <c r="B4" s="220"/>
      <c r="C4" s="1558">
        <f>FST!E4</f>
        <v>0</v>
      </c>
      <c r="D4" s="1667"/>
      <c r="E4" s="1667"/>
      <c r="F4" s="1667"/>
    </row>
    <row r="5" spans="1:10" s="33" customFormat="1" ht="12.6" customHeight="1" x14ac:dyDescent="0.2">
      <c r="A5" s="825" t="s">
        <v>774</v>
      </c>
      <c r="B5" s="220"/>
      <c r="C5" s="1556">
        <f>FST!E5</f>
        <v>0</v>
      </c>
      <c r="D5" s="1660"/>
      <c r="E5" s="1660"/>
      <c r="F5" s="1660"/>
    </row>
    <row r="6" spans="1:10" s="33" customFormat="1" ht="12.6" customHeight="1" x14ac:dyDescent="0.2">
      <c r="A6" s="826" t="s">
        <v>775</v>
      </c>
      <c r="B6" s="220"/>
      <c r="C6" s="1553">
        <f>FST!E6</f>
        <v>0</v>
      </c>
      <c r="D6" s="1668"/>
      <c r="E6" s="1668"/>
      <c r="F6" s="1668"/>
    </row>
    <row r="7" spans="1:10" s="33" customFormat="1" ht="12.6" customHeight="1" x14ac:dyDescent="0.2">
      <c r="A7" s="67" t="s">
        <v>923</v>
      </c>
      <c r="B7" s="34"/>
    </row>
    <row r="8" spans="1:10" s="33" customFormat="1" ht="12.6" customHeight="1" x14ac:dyDescent="0.2">
      <c r="A8" s="827"/>
      <c r="B8" s="34"/>
    </row>
    <row r="9" spans="1:10" s="33" customFormat="1" ht="12.6" customHeight="1" x14ac:dyDescent="0.2">
      <c r="A9" s="827"/>
      <c r="B9" s="34"/>
    </row>
    <row r="10" spans="1:10" s="33" customFormat="1" x14ac:dyDescent="0.2">
      <c r="A10" s="1263" t="s">
        <v>53</v>
      </c>
      <c r="B10" s="1669"/>
      <c r="C10" s="1669"/>
      <c r="D10" s="1669"/>
      <c r="E10" s="1669"/>
      <c r="F10" s="1669"/>
      <c r="G10" s="976"/>
      <c r="H10" s="976"/>
      <c r="I10" s="976"/>
      <c r="J10" s="976"/>
    </row>
    <row r="11" spans="1:10" s="33" customFormat="1" ht="24" customHeight="1" x14ac:dyDescent="0.2">
      <c r="A11" s="1271" t="s">
        <v>1365</v>
      </c>
      <c r="B11" s="1669"/>
      <c r="C11" s="1669"/>
      <c r="D11" s="1669"/>
      <c r="E11" s="1669"/>
      <c r="F11" s="1669"/>
    </row>
    <row r="12" spans="1:10" x14ac:dyDescent="0.2">
      <c r="A12" s="305"/>
      <c r="B12" s="305"/>
      <c r="C12" s="305"/>
      <c r="D12" s="305"/>
      <c r="E12" s="305"/>
      <c r="F12" s="305"/>
      <c r="G12" s="305"/>
      <c r="H12" s="305"/>
      <c r="I12" s="305"/>
    </row>
    <row r="14" spans="1:10" x14ac:dyDescent="0.2">
      <c r="A14" s="306" t="s">
        <v>940</v>
      </c>
    </row>
    <row r="16" spans="1:10" s="980" customFormat="1" ht="38.25" customHeight="1" x14ac:dyDescent="0.2">
      <c r="A16" s="229" t="s">
        <v>712</v>
      </c>
      <c r="B16" s="706" t="s">
        <v>990</v>
      </c>
      <c r="C16" s="980" t="s">
        <v>988</v>
      </c>
      <c r="D16" s="1665" t="s">
        <v>1263</v>
      </c>
      <c r="E16" s="1665"/>
      <c r="F16" s="1665"/>
      <c r="G16" s="803"/>
    </row>
    <row r="17" spans="1:6" s="982" customFormat="1" ht="25.5" customHeight="1" x14ac:dyDescent="0.2">
      <c r="A17" s="979"/>
      <c r="B17" s="979"/>
      <c r="C17" s="310"/>
      <c r="D17" s="1660"/>
      <c r="E17" s="1660"/>
      <c r="F17" s="1660"/>
    </row>
    <row r="18" spans="1:6" s="982" customFormat="1" ht="25.5" customHeight="1" x14ac:dyDescent="0.2">
      <c r="A18" s="979"/>
      <c r="B18" s="979"/>
      <c r="C18" s="310"/>
      <c r="D18" s="1660"/>
      <c r="E18" s="1660"/>
      <c r="F18" s="1660"/>
    </row>
    <row r="19" spans="1:6" s="982" customFormat="1" ht="25.5" customHeight="1" x14ac:dyDescent="0.2">
      <c r="A19" s="979"/>
      <c r="B19" s="979"/>
      <c r="C19" s="310"/>
      <c r="D19" s="1660"/>
      <c r="E19" s="1660"/>
      <c r="F19" s="1660"/>
    </row>
    <row r="20" spans="1:6" s="982" customFormat="1" ht="25.5" customHeight="1" x14ac:dyDescent="0.2">
      <c r="A20" s="979"/>
      <c r="B20" s="979"/>
      <c r="C20" s="310"/>
      <c r="D20" s="1660"/>
      <c r="E20" s="1660"/>
      <c r="F20" s="1660"/>
    </row>
    <row r="21" spans="1:6" s="982" customFormat="1" ht="25.5" customHeight="1" x14ac:dyDescent="0.2">
      <c r="A21" s="979"/>
      <c r="B21" s="979"/>
      <c r="C21" s="310"/>
      <c r="D21" s="1660"/>
      <c r="E21" s="1660"/>
      <c r="F21" s="1660"/>
    </row>
    <row r="22" spans="1:6" s="982" customFormat="1" ht="25.5" customHeight="1" x14ac:dyDescent="0.2">
      <c r="A22" s="979"/>
      <c r="B22" s="979"/>
      <c r="C22" s="310"/>
      <c r="D22" s="1660"/>
      <c r="E22" s="1660"/>
      <c r="F22" s="1660"/>
    </row>
    <row r="23" spans="1:6" s="982" customFormat="1" ht="25.5" customHeight="1" x14ac:dyDescent="0.2">
      <c r="A23" s="979"/>
      <c r="B23" s="979"/>
      <c r="C23" s="310"/>
      <c r="D23" s="1660"/>
      <c r="E23" s="1660"/>
      <c r="F23" s="1660"/>
    </row>
    <row r="24" spans="1:6" s="982" customFormat="1" ht="25.5" customHeight="1" x14ac:dyDescent="0.2">
      <c r="A24" s="979"/>
      <c r="B24" s="979"/>
      <c r="C24" s="310"/>
      <c r="D24" s="1660"/>
      <c r="E24" s="1660"/>
      <c r="F24" s="1660"/>
    </row>
    <row r="25" spans="1:6" s="982" customFormat="1" ht="25.5" customHeight="1" x14ac:dyDescent="0.2">
      <c r="A25" s="979"/>
      <c r="B25" s="979"/>
      <c r="C25" s="310"/>
      <c r="D25" s="1660"/>
      <c r="E25" s="1660"/>
      <c r="F25" s="1660"/>
    </row>
    <row r="26" spans="1:6" s="982" customFormat="1" ht="25.5" customHeight="1" x14ac:dyDescent="0.2">
      <c r="A26" s="979"/>
      <c r="B26" s="979"/>
      <c r="C26" s="310"/>
      <c r="D26" s="1660"/>
      <c r="E26" s="1660"/>
      <c r="F26" s="1660"/>
    </row>
    <row r="27" spans="1:6" s="982" customFormat="1" ht="25.5" customHeight="1" x14ac:dyDescent="0.2">
      <c r="A27" s="979"/>
      <c r="B27" s="979"/>
      <c r="C27" s="310"/>
      <c r="D27" s="1660"/>
      <c r="E27" s="1660"/>
      <c r="F27" s="1660"/>
    </row>
    <row r="28" spans="1:6" s="982" customFormat="1" ht="25.5" customHeight="1" x14ac:dyDescent="0.2">
      <c r="A28" s="979"/>
      <c r="B28" s="979"/>
      <c r="C28" s="310"/>
      <c r="D28" s="1660"/>
      <c r="E28" s="1660"/>
      <c r="F28" s="1660"/>
    </row>
    <row r="29" spans="1:6" s="982" customFormat="1" ht="25.5" customHeight="1" x14ac:dyDescent="0.2">
      <c r="A29" s="979"/>
      <c r="B29" s="979"/>
      <c r="C29" s="310"/>
      <c r="D29" s="1660"/>
      <c r="E29" s="1660"/>
      <c r="F29" s="1660"/>
    </row>
    <row r="30" spans="1:6" s="982" customFormat="1" ht="25.5" customHeight="1" x14ac:dyDescent="0.2">
      <c r="A30" s="979"/>
      <c r="B30" s="979"/>
      <c r="C30" s="310"/>
      <c r="D30" s="1660"/>
      <c r="E30" s="1660"/>
      <c r="F30" s="1660"/>
    </row>
    <row r="31" spans="1:6" ht="13.5" thickBot="1" x14ac:dyDescent="0.25">
      <c r="B31" s="460" t="s">
        <v>373</v>
      </c>
      <c r="C31" s="308">
        <f>IF(SUM(C17:C30)='Combining FST'!Q74,SUM(C17:C30),"ERROR")</f>
        <v>0</v>
      </c>
      <c r="D31" s="306" t="s">
        <v>785</v>
      </c>
      <c r="E31" s="309"/>
    </row>
    <row r="32" spans="1:6" ht="13.5" thickTop="1" x14ac:dyDescent="0.2">
      <c r="B32" s="462" t="s">
        <v>311</v>
      </c>
      <c r="C32" s="463">
        <f>SUM(C17:C30)</f>
        <v>0</v>
      </c>
      <c r="D32" s="309"/>
      <c r="E32" s="309"/>
    </row>
    <row r="33" spans="1:7" x14ac:dyDescent="0.2">
      <c r="B33" s="462" t="s">
        <v>106</v>
      </c>
      <c r="C33" s="463">
        <f>'Combining FST'!Q74-'TAB F9, Short-Term Debt'!C32</f>
        <v>0</v>
      </c>
      <c r="D33" s="309"/>
      <c r="E33" s="309"/>
    </row>
    <row r="34" spans="1:7" ht="45.75" customHeight="1" x14ac:dyDescent="0.2">
      <c r="A34" s="1661" t="s">
        <v>924</v>
      </c>
      <c r="B34" s="1166"/>
      <c r="C34" s="1166"/>
      <c r="D34" s="1166"/>
      <c r="E34" s="1166"/>
      <c r="F34" s="1166"/>
      <c r="G34" s="1167"/>
    </row>
    <row r="35" spans="1:7" x14ac:dyDescent="0.2">
      <c r="D35" s="309"/>
      <c r="E35" s="309"/>
    </row>
    <row r="36" spans="1:7" x14ac:dyDescent="0.2">
      <c r="D36" s="309"/>
      <c r="E36" s="309"/>
    </row>
    <row r="37" spans="1:7" x14ac:dyDescent="0.2">
      <c r="D37" s="309"/>
      <c r="E37" s="309"/>
    </row>
    <row r="38" spans="1:7" x14ac:dyDescent="0.2">
      <c r="D38" s="309"/>
      <c r="E38" s="309"/>
    </row>
    <row r="40" spans="1:7" x14ac:dyDescent="0.2">
      <c r="A40" s="307" t="s">
        <v>559</v>
      </c>
    </row>
    <row r="42" spans="1:7" s="980" customFormat="1" ht="38.25" customHeight="1" x14ac:dyDescent="0.2">
      <c r="A42" s="229" t="s">
        <v>712</v>
      </c>
      <c r="B42" s="229" t="s">
        <v>197</v>
      </c>
      <c r="C42" s="980" t="s">
        <v>988</v>
      </c>
      <c r="D42" s="1664" t="s">
        <v>1271</v>
      </c>
      <c r="E42" s="1664"/>
      <c r="F42" s="1664"/>
    </row>
    <row r="43" spans="1:7" s="980" customFormat="1" x14ac:dyDescent="0.2"/>
    <row r="44" spans="1:7" s="982" customFormat="1" ht="24" customHeight="1" x14ac:dyDescent="0.2">
      <c r="A44" s="979"/>
      <c r="B44" s="981" t="s">
        <v>198</v>
      </c>
      <c r="C44" s="310"/>
      <c r="D44" s="1660"/>
      <c r="E44" s="1660"/>
      <c r="F44" s="1660"/>
    </row>
    <row r="45" spans="1:7" s="982" customFormat="1" ht="24" customHeight="1" x14ac:dyDescent="0.2">
      <c r="A45" s="979"/>
      <c r="B45" s="981" t="s">
        <v>198</v>
      </c>
      <c r="C45" s="310"/>
      <c r="D45" s="1660"/>
      <c r="E45" s="1660"/>
      <c r="F45" s="1660"/>
    </row>
    <row r="46" spans="1:7" s="982" customFormat="1" ht="24" customHeight="1" x14ac:dyDescent="0.2">
      <c r="A46" s="979"/>
      <c r="B46" s="981" t="s">
        <v>198</v>
      </c>
      <c r="C46" s="310"/>
      <c r="D46" s="1660"/>
      <c r="E46" s="1660"/>
      <c r="F46" s="1660"/>
    </row>
    <row r="47" spans="1:7" s="982" customFormat="1" ht="24" customHeight="1" x14ac:dyDescent="0.2">
      <c r="A47" s="979"/>
      <c r="B47" s="981" t="s">
        <v>198</v>
      </c>
      <c r="C47" s="310"/>
      <c r="D47" s="1660"/>
      <c r="E47" s="1660"/>
      <c r="F47" s="1660"/>
    </row>
    <row r="48" spans="1:7" s="982" customFormat="1" ht="24" customHeight="1" x14ac:dyDescent="0.2">
      <c r="A48" s="979"/>
      <c r="B48" s="981" t="s">
        <v>198</v>
      </c>
      <c r="C48" s="310"/>
      <c r="D48" s="1660"/>
      <c r="E48" s="1660"/>
      <c r="F48" s="1660"/>
    </row>
    <row r="49" spans="1:7" s="982" customFormat="1" ht="24" customHeight="1" x14ac:dyDescent="0.2">
      <c r="A49" s="979"/>
      <c r="B49" s="981" t="s">
        <v>198</v>
      </c>
      <c r="C49" s="310"/>
      <c r="D49" s="1660"/>
      <c r="E49" s="1660"/>
      <c r="F49" s="1660"/>
    </row>
    <row r="50" spans="1:7" s="982" customFormat="1" ht="24" customHeight="1" x14ac:dyDescent="0.2">
      <c r="A50" s="979"/>
      <c r="B50" s="981" t="s">
        <v>198</v>
      </c>
      <c r="C50" s="310"/>
      <c r="D50" s="1660"/>
      <c r="E50" s="1660"/>
      <c r="F50" s="1660"/>
    </row>
    <row r="51" spans="1:7" s="982" customFormat="1" ht="24" customHeight="1" x14ac:dyDescent="0.2">
      <c r="A51" s="979"/>
      <c r="B51" s="981" t="s">
        <v>198</v>
      </c>
      <c r="C51" s="310"/>
      <c r="D51" s="1660"/>
      <c r="E51" s="1660"/>
      <c r="F51" s="1660"/>
    </row>
    <row r="52" spans="1:7" s="982" customFormat="1" ht="24" customHeight="1" x14ac:dyDescent="0.2">
      <c r="A52" s="979"/>
      <c r="B52" s="981" t="s">
        <v>198</v>
      </c>
      <c r="C52" s="310"/>
      <c r="D52" s="1660"/>
      <c r="E52" s="1660"/>
      <c r="F52" s="1660"/>
    </row>
    <row r="53" spans="1:7" s="982" customFormat="1" ht="24" customHeight="1" x14ac:dyDescent="0.2">
      <c r="A53" s="979"/>
      <c r="B53" s="981" t="s">
        <v>198</v>
      </c>
      <c r="C53" s="310"/>
      <c r="D53" s="1660"/>
      <c r="E53" s="1660"/>
      <c r="F53" s="1660"/>
    </row>
    <row r="54" spans="1:7" s="982" customFormat="1" ht="24" customHeight="1" x14ac:dyDescent="0.2">
      <c r="A54" s="979"/>
      <c r="B54" s="981" t="s">
        <v>198</v>
      </c>
      <c r="C54" s="310"/>
      <c r="D54" s="1660"/>
      <c r="E54" s="1660"/>
      <c r="F54" s="1660"/>
    </row>
    <row r="55" spans="1:7" s="982" customFormat="1" ht="24" customHeight="1" x14ac:dyDescent="0.2">
      <c r="A55" s="979"/>
      <c r="B55" s="981" t="s">
        <v>198</v>
      </c>
      <c r="C55" s="310"/>
      <c r="D55" s="1660"/>
      <c r="E55" s="1660"/>
      <c r="F55" s="1660"/>
    </row>
    <row r="56" spans="1:7" s="982" customFormat="1" ht="24" customHeight="1" x14ac:dyDescent="0.2">
      <c r="A56" s="979"/>
      <c r="B56" s="981" t="s">
        <v>198</v>
      </c>
      <c r="C56" s="310"/>
      <c r="D56" s="1660"/>
      <c r="E56" s="1660"/>
      <c r="F56" s="1660"/>
    </row>
    <row r="57" spans="1:7" s="982" customFormat="1" ht="24" customHeight="1" x14ac:dyDescent="0.2">
      <c r="A57" s="979"/>
      <c r="B57" s="981" t="s">
        <v>198</v>
      </c>
      <c r="C57" s="310"/>
      <c r="D57" s="1660"/>
      <c r="E57" s="1660"/>
      <c r="F57" s="1660"/>
    </row>
    <row r="58" spans="1:7" s="982" customFormat="1" ht="24" customHeight="1" x14ac:dyDescent="0.2">
      <c r="A58" s="979"/>
      <c r="B58" s="981" t="s">
        <v>198</v>
      </c>
      <c r="C58" s="310"/>
      <c r="D58" s="1660"/>
      <c r="E58" s="1660"/>
      <c r="F58" s="1660"/>
    </row>
    <row r="59" spans="1:7" ht="13.5" thickBot="1" x14ac:dyDescent="0.25">
      <c r="B59" s="461" t="s">
        <v>373</v>
      </c>
      <c r="C59" s="308">
        <f>IF(SUM(C44:C58)=SUM('Combining FST'!Q88,'Combining FST'!Q99),SUM(C44:C58),"ERROR")</f>
        <v>0</v>
      </c>
      <c r="D59" s="306" t="s">
        <v>786</v>
      </c>
    </row>
    <row r="60" spans="1:7" ht="13.5" thickTop="1" x14ac:dyDescent="0.2">
      <c r="B60" s="462" t="s">
        <v>311</v>
      </c>
      <c r="C60" s="463">
        <f>SUM(C44:C58)</f>
        <v>0</v>
      </c>
    </row>
    <row r="61" spans="1:7" x14ac:dyDescent="0.2">
      <c r="B61" s="462" t="s">
        <v>106</v>
      </c>
      <c r="C61" s="463">
        <f>SUM('Combining FST'!Q88,'Combining FST'!Q99)-'TAB F9, Short-Term Debt'!C60</f>
        <v>0</v>
      </c>
    </row>
    <row r="62" spans="1:7" ht="54" customHeight="1" x14ac:dyDescent="0.2">
      <c r="A62" s="1661" t="s">
        <v>158</v>
      </c>
      <c r="B62" s="1662"/>
      <c r="C62" s="1662"/>
      <c r="D62" s="1662"/>
      <c r="E62" s="1662"/>
      <c r="F62" s="1662"/>
      <c r="G62" s="1663"/>
    </row>
    <row r="66" spans="4:4" hidden="1" x14ac:dyDescent="0.2">
      <c r="D66" s="306" t="s">
        <v>155</v>
      </c>
    </row>
    <row r="67" spans="4:4" hidden="1" x14ac:dyDescent="0.2">
      <c r="D67" s="306" t="s">
        <v>156</v>
      </c>
    </row>
  </sheetData>
  <sheetProtection algorithmName="SHA-512" hashValue="ZbrLhAM+1emNzKrvN4MdgINjNBrflwL4rkoPTmf7aMY/JipQiCpoUe2ZWbYH4OZm9d+6+8kR0KbZg/MTSou+Sg==" saltValue="tvRBWtorJ38wtwb+UK7LUg==" spinCount="100000" sheet="1" objects="1" scenarios="1"/>
  <mergeCells count="41">
    <mergeCell ref="D16:F16"/>
    <mergeCell ref="C1:F1"/>
    <mergeCell ref="D19:F19"/>
    <mergeCell ref="D18:F18"/>
    <mergeCell ref="C2:F2"/>
    <mergeCell ref="C3:F3"/>
    <mergeCell ref="D17:F17"/>
    <mergeCell ref="C4:F4"/>
    <mergeCell ref="C5:F5"/>
    <mergeCell ref="C6:F6"/>
    <mergeCell ref="A10:F10"/>
    <mergeCell ref="A11:F11"/>
    <mergeCell ref="A62:G62"/>
    <mergeCell ref="D25:F25"/>
    <mergeCell ref="D28:F28"/>
    <mergeCell ref="D42:F42"/>
    <mergeCell ref="D26:F26"/>
    <mergeCell ref="D27:F27"/>
    <mergeCell ref="D29:F29"/>
    <mergeCell ref="D30:F30"/>
    <mergeCell ref="D50:F50"/>
    <mergeCell ref="D51:F51"/>
    <mergeCell ref="D48:F48"/>
    <mergeCell ref="D49:F49"/>
    <mergeCell ref="D54:F54"/>
    <mergeCell ref="D55:F55"/>
    <mergeCell ref="D52:F52"/>
    <mergeCell ref="D53:F53"/>
    <mergeCell ref="D58:F58"/>
    <mergeCell ref="D56:F56"/>
    <mergeCell ref="D57:F57"/>
    <mergeCell ref="D20:F20"/>
    <mergeCell ref="D21:F21"/>
    <mergeCell ref="D22:F22"/>
    <mergeCell ref="A34:G34"/>
    <mergeCell ref="D47:F47"/>
    <mergeCell ref="D44:F44"/>
    <mergeCell ref="D45:F45"/>
    <mergeCell ref="D46:F46"/>
    <mergeCell ref="D24:F24"/>
    <mergeCell ref="D23:F23"/>
  </mergeCells>
  <phoneticPr fontId="12" type="noConversion"/>
  <conditionalFormatting sqref="D16 G16">
    <cfRule type="cellIs" dxfId="14" priority="1" operator="equal">
      <formula>"Answer Required"</formula>
    </cfRule>
  </conditionalFormatting>
  <dataValidations count="2">
    <dataValidation type="whole" allowBlank="1" showInputMessage="1" showErrorMessage="1" error="Enter whole number." sqref="C17:C30 C44:C58" xr:uid="{00000000-0002-0000-1B00-000000000000}">
      <formula1>-1000000000000000</formula1>
      <formula2>10000000000000000</formula2>
    </dataValidation>
    <dataValidation type="whole" allowBlank="1" showInputMessage="1" showErrorMessage="1" error="Enter a 3-digit agency control number." sqref="C1:F1" xr:uid="{00000000-0002-0000-1B00-000001000000}">
      <formula1>100</formula1>
      <formula2>999</formula2>
    </dataValidation>
  </dataValidations>
  <pageMargins left="0.7" right="0.7" top="1" bottom="0.75" header="0.3" footer="0.3"/>
  <pageSetup scale="68" fitToHeight="2" orientation="landscape" cellComments="asDisplayed" r:id="rId1"/>
  <headerFooter alignWithMargins="0">
    <oddHeader xml:space="preserve">&amp;C&amp;"Arial,Bold"Attachment HE-10
Financial Statement Template
&amp;A&amp;"Arial,Regular"
</oddHeader>
    <oddFooter>&amp;L&amp;"Arial,Regular"&amp;F \ &amp;A&amp;R&amp;"Arial,Regular"Page &amp;P</oddFooter>
  </headerFooter>
  <rowBreaks count="1" manualBreakCount="1">
    <brk id="3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57"/>
  <sheetViews>
    <sheetView showGridLines="0" zoomScale="90" zoomScaleNormal="90" zoomScaleSheetLayoutView="75" workbookViewId="0">
      <pane xSplit="2" ySplit="14" topLeftCell="C15" activePane="bottomRight" state="frozen"/>
      <selection activeCell="L9" sqref="L9:Q16"/>
      <selection pane="topRight" activeCell="L9" sqref="L9:Q16"/>
      <selection pane="bottomLeft" activeCell="L9" sqref="L9:Q16"/>
      <selection pane="bottomRight"/>
    </sheetView>
  </sheetViews>
  <sheetFormatPr defaultColWidth="10.6640625" defaultRowHeight="12" x14ac:dyDescent="0.2"/>
  <cols>
    <col min="1" max="1" width="22.83203125" style="167" customWidth="1"/>
    <col min="2" max="2" width="24.33203125" style="168" customWidth="1"/>
    <col min="3" max="12" width="17.83203125" style="169" customWidth="1"/>
    <col min="13" max="16384" width="10.6640625" style="167"/>
  </cols>
  <sheetData>
    <row r="1" spans="1:12" ht="12.75" x14ac:dyDescent="0.2">
      <c r="A1" s="824" t="s">
        <v>1155</v>
      </c>
      <c r="C1" s="1525">
        <f>FST!E1</f>
        <v>0</v>
      </c>
      <c r="D1" s="1255"/>
      <c r="E1" s="1255"/>
      <c r="F1" s="1255"/>
    </row>
    <row r="2" spans="1:12" s="33" customFormat="1" ht="37.5" customHeight="1" x14ac:dyDescent="0.2">
      <c r="A2" s="824" t="s">
        <v>770</v>
      </c>
      <c r="B2" s="31"/>
      <c r="C2" s="1525" t="str">
        <f>FST!E2</f>
        <v/>
      </c>
      <c r="D2" s="1255"/>
      <c r="E2" s="1255"/>
      <c r="F2" s="1255"/>
      <c r="G2" s="476"/>
      <c r="H2" s="843"/>
      <c r="I2" s="476"/>
      <c r="J2" s="476"/>
      <c r="K2" s="476"/>
      <c r="L2" s="476"/>
    </row>
    <row r="3" spans="1:12" s="33" customFormat="1" ht="13.5" customHeight="1" x14ac:dyDescent="0.2">
      <c r="A3" s="824" t="s">
        <v>771</v>
      </c>
      <c r="B3" s="31"/>
      <c r="C3" s="1526">
        <f>FST!E3</f>
        <v>0</v>
      </c>
      <c r="D3" s="1177"/>
      <c r="E3" s="1177"/>
      <c r="F3" s="1177"/>
      <c r="G3" s="476"/>
      <c r="H3" s="476"/>
      <c r="I3" s="476"/>
      <c r="J3" s="476"/>
      <c r="K3" s="476"/>
      <c r="L3" s="476"/>
    </row>
    <row r="4" spans="1:12" s="33" customFormat="1" ht="12.6" customHeight="1" x14ac:dyDescent="0.2">
      <c r="A4" s="824" t="s">
        <v>773</v>
      </c>
      <c r="B4" s="31"/>
      <c r="C4" s="1288">
        <f>FST!E4</f>
        <v>0</v>
      </c>
      <c r="D4" s="1188"/>
      <c r="E4" s="1188"/>
      <c r="F4" s="1188"/>
      <c r="G4" s="476"/>
      <c r="H4" s="476"/>
      <c r="I4" s="476"/>
      <c r="J4" s="476"/>
      <c r="K4" s="476"/>
      <c r="L4" s="476"/>
    </row>
    <row r="5" spans="1:12" s="33" customFormat="1" ht="12.6" customHeight="1" x14ac:dyDescent="0.2">
      <c r="A5" s="825" t="s">
        <v>774</v>
      </c>
      <c r="B5" s="31"/>
      <c r="C5" s="1526">
        <f>FST!E5</f>
        <v>0</v>
      </c>
      <c r="D5" s="1177"/>
      <c r="E5" s="1177"/>
      <c r="F5" s="1177"/>
      <c r="G5" s="476"/>
      <c r="H5" s="476"/>
      <c r="I5" s="476"/>
      <c r="J5" s="476"/>
      <c r="K5" s="476"/>
      <c r="L5" s="476"/>
    </row>
    <row r="6" spans="1:12" s="33" customFormat="1" ht="12.6" customHeight="1" x14ac:dyDescent="0.2">
      <c r="A6" s="826" t="s">
        <v>775</v>
      </c>
      <c r="B6" s="31"/>
      <c r="C6" s="1277">
        <f>FST!E6</f>
        <v>0</v>
      </c>
      <c r="D6" s="1193"/>
      <c r="E6" s="1193"/>
      <c r="F6" s="1193"/>
      <c r="G6" s="477"/>
      <c r="H6" s="477"/>
      <c r="I6" s="477"/>
      <c r="J6" s="477"/>
      <c r="K6" s="477"/>
      <c r="L6" s="477"/>
    </row>
    <row r="7" spans="1:12" s="33" customFormat="1" ht="12.6" customHeight="1" x14ac:dyDescent="0.2">
      <c r="A7" s="67" t="s">
        <v>887</v>
      </c>
      <c r="B7" s="34"/>
    </row>
    <row r="8" spans="1:12" s="33" customFormat="1" ht="15" customHeight="1" x14ac:dyDescent="0.2">
      <c r="A8" s="827"/>
      <c r="B8" s="34"/>
    </row>
    <row r="9" spans="1:12" s="33" customFormat="1" ht="14.25" customHeight="1" x14ac:dyDescent="0.2">
      <c r="A9" s="465" t="s">
        <v>449</v>
      </c>
      <c r="B9" s="466"/>
      <c r="C9" s="466"/>
      <c r="D9" s="467"/>
      <c r="E9" s="467"/>
      <c r="F9" s="468"/>
      <c r="G9" s="69"/>
      <c r="H9" s="69"/>
      <c r="I9" s="69"/>
      <c r="J9" s="69"/>
      <c r="K9" s="69"/>
      <c r="L9" s="69"/>
    </row>
    <row r="10" spans="1:12" s="33" customFormat="1" ht="6" customHeight="1" x14ac:dyDescent="0.2">
      <c r="A10" s="840"/>
      <c r="B10" s="35"/>
      <c r="C10" s="36"/>
      <c r="D10" s="36"/>
      <c r="E10" s="36"/>
      <c r="F10" s="469"/>
    </row>
    <row r="11" spans="1:12" ht="3.75" customHeight="1" x14ac:dyDescent="0.2"/>
    <row r="12" spans="1:12" ht="12.75" x14ac:dyDescent="0.2">
      <c r="A12" s="829" t="s">
        <v>884</v>
      </c>
      <c r="B12" s="58"/>
      <c r="C12" s="58"/>
      <c r="D12" s="58"/>
      <c r="E12" s="58"/>
      <c r="F12" s="58"/>
      <c r="G12" s="58"/>
      <c r="H12" s="58"/>
      <c r="I12" s="58"/>
      <c r="J12" s="58"/>
      <c r="K12" s="58"/>
      <c r="L12" s="58"/>
    </row>
    <row r="13" spans="1:12" ht="66.75" customHeight="1" x14ac:dyDescent="0.2">
      <c r="A13" s="58" t="s">
        <v>54</v>
      </c>
      <c r="B13" s="58"/>
      <c r="C13" s="967">
        <f>'Combining FST'!G19</f>
        <v>0</v>
      </c>
      <c r="D13" s="967">
        <f>'Combining FST'!H19</f>
        <v>0</v>
      </c>
      <c r="E13" s="967">
        <f>'Combining FST'!I19</f>
        <v>0</v>
      </c>
      <c r="F13" s="967">
        <f>'Combining FST'!J19</f>
        <v>0</v>
      </c>
      <c r="G13" s="967">
        <f>'Combining FST'!K19</f>
        <v>0</v>
      </c>
      <c r="H13" s="967">
        <f>'Combining FST'!L19</f>
        <v>0</v>
      </c>
      <c r="I13" s="967">
        <f>'Combining FST'!M19</f>
        <v>0</v>
      </c>
      <c r="J13" s="967">
        <f>'Combining FST'!N19</f>
        <v>0</v>
      </c>
      <c r="K13" s="1674" t="s">
        <v>797</v>
      </c>
      <c r="L13" s="1674" t="s">
        <v>340</v>
      </c>
    </row>
    <row r="14" spans="1:12" ht="16.5" customHeight="1" x14ac:dyDescent="0.2">
      <c r="A14" s="828" t="s">
        <v>184</v>
      </c>
      <c r="B14" s="837"/>
      <c r="C14" s="470">
        <f>'Combining FST'!G20</f>
        <v>0</v>
      </c>
      <c r="D14" s="470">
        <f>'Combining FST'!H20</f>
        <v>0</v>
      </c>
      <c r="E14" s="470">
        <f>'Combining FST'!I20</f>
        <v>0</v>
      </c>
      <c r="F14" s="470">
        <f>'Combining FST'!J20</f>
        <v>0</v>
      </c>
      <c r="G14" s="470">
        <f>'Combining FST'!K20</f>
        <v>0</v>
      </c>
      <c r="H14" s="470">
        <f>'Combining FST'!L20</f>
        <v>0</v>
      </c>
      <c r="I14" s="470">
        <f>'Combining FST'!M20</f>
        <v>0</v>
      </c>
      <c r="J14" s="470">
        <f>'Combining FST'!N20</f>
        <v>0</v>
      </c>
      <c r="K14" s="1675"/>
      <c r="L14" s="1675"/>
    </row>
    <row r="15" spans="1:12" ht="12.75" x14ac:dyDescent="0.2">
      <c r="A15" s="58"/>
      <c r="B15" s="837"/>
      <c r="C15" s="464"/>
      <c r="D15" s="464"/>
      <c r="E15" s="464"/>
      <c r="F15" s="464"/>
      <c r="G15" s="464"/>
      <c r="H15" s="464"/>
      <c r="I15" s="464"/>
      <c r="J15" s="464"/>
      <c r="K15" s="464"/>
      <c r="L15" s="464"/>
    </row>
    <row r="16" spans="1:12" x14ac:dyDescent="0.2">
      <c r="A16" s="10" t="s">
        <v>569</v>
      </c>
      <c r="B16" s="837"/>
      <c r="C16" s="446">
        <f>SUM('Combining FST'!G50,'Combining FST'!G58)</f>
        <v>0</v>
      </c>
      <c r="D16" s="446">
        <f>SUM('Combining FST'!H50,'Combining FST'!H58)</f>
        <v>0</v>
      </c>
      <c r="E16" s="446">
        <f>SUM('Combining FST'!I50,'Combining FST'!I58)</f>
        <v>0</v>
      </c>
      <c r="F16" s="446">
        <f>SUM('Combining FST'!J50,'Combining FST'!J58)</f>
        <v>0</v>
      </c>
      <c r="G16" s="446">
        <f>SUM('Combining FST'!K50,'Combining FST'!K58)</f>
        <v>0</v>
      </c>
      <c r="H16" s="446">
        <f>SUM('Combining FST'!L50,'Combining FST'!L58)</f>
        <v>0</v>
      </c>
      <c r="I16" s="446">
        <f>SUM('Combining FST'!M50,'Combining FST'!M58)</f>
        <v>0</v>
      </c>
      <c r="J16" s="446">
        <f>SUM('Combining FST'!N50,'Combining FST'!N58)</f>
        <v>0</v>
      </c>
      <c r="K16" s="446">
        <f>SUM('Combining FST'!P50,'Combining FST'!P58)</f>
        <v>0</v>
      </c>
      <c r="L16" s="446">
        <f>SUM('Elimination Entries to FST'!I102,'Elimination Entries to FST'!I116)</f>
        <v>0</v>
      </c>
    </row>
    <row r="17" spans="1:12" ht="2.25" customHeight="1" x14ac:dyDescent="0.2">
      <c r="A17" s="213"/>
      <c r="B17" s="837"/>
      <c r="C17" s="328"/>
      <c r="D17" s="328"/>
      <c r="E17" s="328"/>
      <c r="F17" s="328"/>
      <c r="G17" s="328"/>
      <c r="H17" s="328"/>
      <c r="I17" s="328"/>
      <c r="J17" s="328"/>
      <c r="K17" s="328"/>
      <c r="L17" s="328"/>
    </row>
    <row r="18" spans="1:12" x14ac:dyDescent="0.2">
      <c r="A18" s="211" t="s">
        <v>980</v>
      </c>
      <c r="B18" s="837"/>
      <c r="C18" s="328"/>
      <c r="D18" s="328"/>
      <c r="E18" s="328"/>
      <c r="F18" s="328"/>
      <c r="G18" s="328"/>
      <c r="H18" s="328"/>
      <c r="I18" s="328"/>
      <c r="J18" s="328"/>
      <c r="K18" s="328"/>
      <c r="L18" s="328"/>
    </row>
    <row r="19" spans="1:12" hidden="1" x14ac:dyDescent="0.2">
      <c r="A19" s="10"/>
      <c r="B19" s="10"/>
      <c r="C19" s="10"/>
      <c r="D19" s="10"/>
      <c r="E19" s="10"/>
      <c r="F19" s="10"/>
      <c r="G19" s="10"/>
      <c r="H19" s="10"/>
      <c r="I19" s="10"/>
      <c r="J19" s="10"/>
      <c r="K19" s="10"/>
      <c r="L19" s="10"/>
    </row>
    <row r="20" spans="1:12" x14ac:dyDescent="0.2">
      <c r="A20" s="10" t="s">
        <v>571</v>
      </c>
      <c r="B20" s="837"/>
      <c r="C20" s="446">
        <f>-SUM('Combining FST'!G86,'Combining FST'!G97)</f>
        <v>0</v>
      </c>
      <c r="D20" s="446">
        <f>-SUM('Combining FST'!H86,'Combining FST'!H97)</f>
        <v>0</v>
      </c>
      <c r="E20" s="446">
        <f>-SUM('Combining FST'!I86,'Combining FST'!I97)</f>
        <v>0</v>
      </c>
      <c r="F20" s="446">
        <f>-SUM('Combining FST'!J86,'Combining FST'!J97)</f>
        <v>0</v>
      </c>
      <c r="G20" s="446">
        <f>-SUM('Combining FST'!K86,'Combining FST'!K97)</f>
        <v>0</v>
      </c>
      <c r="H20" s="446">
        <f>-SUM('Combining FST'!L86,'Combining FST'!L97)</f>
        <v>0</v>
      </c>
      <c r="I20" s="446">
        <f>-SUM('Combining FST'!M86,'Combining FST'!M97)</f>
        <v>0</v>
      </c>
      <c r="J20" s="446">
        <f>-SUM('Combining FST'!N86,'Combining FST'!N97)</f>
        <v>0</v>
      </c>
      <c r="K20" s="446">
        <f>-SUM('Combining FST'!P86,'Combining FST'!P97)</f>
        <v>0</v>
      </c>
      <c r="L20" s="446">
        <f>-SUM('Elimination Entries to FST'!I163,'Elimination Entries to FST'!I179)</f>
        <v>0</v>
      </c>
    </row>
    <row r="21" spans="1:12" x14ac:dyDescent="0.2">
      <c r="A21" s="10" t="s">
        <v>572</v>
      </c>
      <c r="B21" s="837"/>
      <c r="C21" s="446">
        <f>-SUM('Combining FST'!G87,'Combining FST'!G98)</f>
        <v>0</v>
      </c>
      <c r="D21" s="446">
        <f>-SUM('Combining FST'!H87,'Combining FST'!H98)</f>
        <v>0</v>
      </c>
      <c r="E21" s="446">
        <f>-SUM('Combining FST'!I87,'Combining FST'!I98)</f>
        <v>0</v>
      </c>
      <c r="F21" s="446">
        <f>-SUM('Combining FST'!J87,'Combining FST'!J98)</f>
        <v>0</v>
      </c>
      <c r="G21" s="446">
        <f>-SUM('Combining FST'!K87,'Combining FST'!K98)</f>
        <v>0</v>
      </c>
      <c r="H21" s="446">
        <f>-SUM('Combining FST'!L87,'Combining FST'!L98)</f>
        <v>0</v>
      </c>
      <c r="I21" s="446">
        <f>-SUM('Combining FST'!M87,'Combining FST'!M98)</f>
        <v>0</v>
      </c>
      <c r="J21" s="446">
        <f>-SUM('Combining FST'!N87,'Combining FST'!N98)</f>
        <v>0</v>
      </c>
      <c r="K21" s="446">
        <f>-SUM('Combining FST'!P87,'Combining FST'!P98)</f>
        <v>0</v>
      </c>
      <c r="L21" s="446">
        <f>-SUM('Elimination Entries to FST'!I164,'Elimination Entries to FST'!I180)</f>
        <v>0</v>
      </c>
    </row>
    <row r="22" spans="1:12" x14ac:dyDescent="0.2">
      <c r="A22" s="10" t="s">
        <v>729</v>
      </c>
      <c r="B22" s="837"/>
      <c r="C22" s="446">
        <f>-SUM('Combining FST'!G88,'Combining FST'!G99)</f>
        <v>0</v>
      </c>
      <c r="D22" s="446">
        <f>-SUM('Combining FST'!H88,'Combining FST'!H99)</f>
        <v>0</v>
      </c>
      <c r="E22" s="446">
        <f>-SUM('Combining FST'!I88,'Combining FST'!I99)</f>
        <v>0</v>
      </c>
      <c r="F22" s="446">
        <f>-SUM('Combining FST'!J88,'Combining FST'!J99)</f>
        <v>0</v>
      </c>
      <c r="G22" s="446">
        <f>-SUM('Combining FST'!K88,'Combining FST'!K99)</f>
        <v>0</v>
      </c>
      <c r="H22" s="446">
        <f>-SUM('Combining FST'!L88,'Combining FST'!L99)</f>
        <v>0</v>
      </c>
      <c r="I22" s="446">
        <f>-SUM('Combining FST'!M88,'Combining FST'!M99)</f>
        <v>0</v>
      </c>
      <c r="J22" s="446">
        <f>-SUM('Combining FST'!N88,'Combining FST'!N99)</f>
        <v>0</v>
      </c>
      <c r="K22" s="446">
        <f>-SUM('Combining FST'!P88,'Combining FST'!P99)</f>
        <v>0</v>
      </c>
      <c r="L22" s="446">
        <f>-SUM('Elimination Entries to FST'!I165,'Elimination Entries to FST'!I181)</f>
        <v>0</v>
      </c>
    </row>
    <row r="23" spans="1:12" x14ac:dyDescent="0.2">
      <c r="A23" s="10" t="s">
        <v>573</v>
      </c>
      <c r="B23" s="837"/>
      <c r="C23" s="446">
        <f>-SUM('Combining FST'!G89,'Combining FST'!G100)</f>
        <v>0</v>
      </c>
      <c r="D23" s="446">
        <f>-SUM('Combining FST'!H89,'Combining FST'!H100)</f>
        <v>0</v>
      </c>
      <c r="E23" s="446">
        <f>-SUM('Combining FST'!I89,'Combining FST'!I100)</f>
        <v>0</v>
      </c>
      <c r="F23" s="446">
        <f>-SUM('Combining FST'!J89,'Combining FST'!J100)</f>
        <v>0</v>
      </c>
      <c r="G23" s="446">
        <f>-SUM('Combining FST'!K89,'Combining FST'!K100)</f>
        <v>0</v>
      </c>
      <c r="H23" s="446">
        <f>-SUM('Combining FST'!L89,'Combining FST'!L100)</f>
        <v>0</v>
      </c>
      <c r="I23" s="446">
        <f>-SUM('Combining FST'!M89,'Combining FST'!M100)</f>
        <v>0</v>
      </c>
      <c r="J23" s="446">
        <f>-SUM('Combining FST'!N89,'Combining FST'!N100)</f>
        <v>0</v>
      </c>
      <c r="K23" s="446">
        <f>-SUM('Combining FST'!P89,'Combining FST'!P100)</f>
        <v>0</v>
      </c>
      <c r="L23" s="446">
        <f>-SUM('Elimination Entries to FST'!I166,'Elimination Entries to FST'!I182)</f>
        <v>0</v>
      </c>
    </row>
    <row r="24" spans="1:12" ht="15.75" customHeight="1" x14ac:dyDescent="0.2">
      <c r="A24" s="10" t="s">
        <v>341</v>
      </c>
      <c r="B24" s="837"/>
      <c r="C24" s="443"/>
      <c r="D24" s="328"/>
      <c r="E24" s="328"/>
      <c r="F24" s="328"/>
      <c r="G24" s="328"/>
      <c r="H24" s="328"/>
      <c r="I24" s="328"/>
      <c r="J24" s="328"/>
      <c r="K24" s="328"/>
      <c r="L24" s="328"/>
    </row>
    <row r="25" spans="1:12" ht="28.5" customHeight="1" x14ac:dyDescent="0.2">
      <c r="A25" s="1518" t="s">
        <v>575</v>
      </c>
      <c r="B25" s="1517"/>
      <c r="C25" s="72"/>
      <c r="D25" s="72"/>
      <c r="E25" s="72"/>
      <c r="F25" s="72"/>
      <c r="G25" s="72"/>
      <c r="H25" s="72"/>
      <c r="I25" s="72"/>
      <c r="J25" s="72"/>
      <c r="K25" s="72"/>
      <c r="L25" s="72"/>
    </row>
    <row r="26" spans="1:12" ht="60" customHeight="1" x14ac:dyDescent="0.2">
      <c r="A26" s="1518" t="s">
        <v>413</v>
      </c>
      <c r="B26" s="1517"/>
      <c r="C26" s="72"/>
      <c r="D26" s="72"/>
      <c r="E26" s="72"/>
      <c r="F26" s="72"/>
      <c r="G26" s="72"/>
      <c r="H26" s="72"/>
      <c r="I26" s="72"/>
      <c r="J26" s="72"/>
      <c r="K26" s="72"/>
      <c r="L26" s="72"/>
    </row>
    <row r="27" spans="1:12" ht="12.75" x14ac:dyDescent="0.2">
      <c r="A27" s="448" t="s">
        <v>576</v>
      </c>
      <c r="B27" s="474"/>
      <c r="C27" s="328"/>
      <c r="D27" s="328"/>
      <c r="E27" s="328"/>
      <c r="F27" s="328"/>
      <c r="G27" s="328"/>
      <c r="H27" s="328"/>
      <c r="I27" s="328"/>
      <c r="J27" s="328"/>
      <c r="K27" s="328"/>
      <c r="L27" s="328"/>
    </row>
    <row r="28" spans="1:12" ht="28.5" customHeight="1" x14ac:dyDescent="0.2">
      <c r="A28" s="1514"/>
      <c r="B28" s="1671"/>
      <c r="C28" s="72"/>
      <c r="D28" s="72"/>
      <c r="E28" s="72"/>
      <c r="F28" s="72"/>
      <c r="G28" s="72"/>
      <c r="H28" s="72"/>
      <c r="I28" s="72"/>
      <c r="J28" s="72"/>
      <c r="K28" s="72"/>
      <c r="L28" s="72"/>
    </row>
    <row r="29" spans="1:12" ht="28.5" customHeight="1" x14ac:dyDescent="0.2">
      <c r="A29" s="1514"/>
      <c r="B29" s="1671"/>
      <c r="C29" s="72"/>
      <c r="D29" s="72"/>
      <c r="E29" s="72"/>
      <c r="F29" s="72"/>
      <c r="G29" s="72"/>
      <c r="H29" s="72"/>
      <c r="I29" s="72"/>
      <c r="J29" s="72"/>
      <c r="K29" s="72"/>
      <c r="L29" s="72"/>
    </row>
    <row r="30" spans="1:12" ht="28.5" customHeight="1" x14ac:dyDescent="0.2">
      <c r="A30" s="1514"/>
      <c r="B30" s="1671"/>
      <c r="C30" s="72"/>
      <c r="D30" s="72"/>
      <c r="E30" s="72"/>
      <c r="F30" s="72"/>
      <c r="G30" s="72"/>
      <c r="H30" s="72"/>
      <c r="I30" s="72"/>
      <c r="J30" s="72"/>
      <c r="K30" s="72"/>
      <c r="L30" s="72"/>
    </row>
    <row r="31" spans="1:12" ht="16.5" customHeight="1" x14ac:dyDescent="0.2">
      <c r="A31" s="10" t="s">
        <v>61</v>
      </c>
      <c r="B31" s="64"/>
      <c r="C31" s="328"/>
      <c r="D31" s="328"/>
      <c r="E31" s="328"/>
      <c r="F31" s="328"/>
      <c r="G31" s="328"/>
      <c r="H31" s="328"/>
      <c r="I31" s="328"/>
      <c r="J31" s="328"/>
      <c r="K31" s="328"/>
      <c r="L31" s="328"/>
    </row>
    <row r="32" spans="1:12" ht="28.5" customHeight="1" x14ac:dyDescent="0.2">
      <c r="A32" s="1672" t="s">
        <v>603</v>
      </c>
      <c r="B32" s="1673"/>
      <c r="C32" s="72"/>
      <c r="D32" s="72"/>
      <c r="E32" s="72"/>
      <c r="F32" s="72"/>
      <c r="G32" s="72"/>
      <c r="H32" s="72"/>
      <c r="I32" s="72"/>
      <c r="J32" s="72"/>
      <c r="K32" s="72"/>
      <c r="L32" s="72"/>
    </row>
    <row r="33" spans="1:12" ht="51" customHeight="1" x14ac:dyDescent="0.2">
      <c r="A33" s="1677" t="s">
        <v>954</v>
      </c>
      <c r="B33" s="1678"/>
      <c r="C33" s="72"/>
      <c r="D33" s="72"/>
      <c r="E33" s="72"/>
      <c r="F33" s="72"/>
      <c r="G33" s="72"/>
      <c r="H33" s="72"/>
      <c r="I33" s="72"/>
      <c r="J33" s="72"/>
      <c r="K33" s="72"/>
      <c r="L33" s="72"/>
    </row>
    <row r="34" spans="1:12" ht="28.5" customHeight="1" x14ac:dyDescent="0.2">
      <c r="A34" s="1514"/>
      <c r="B34" s="1671"/>
      <c r="C34" s="72"/>
      <c r="D34" s="72"/>
      <c r="E34" s="72"/>
      <c r="F34" s="72"/>
      <c r="G34" s="72"/>
      <c r="H34" s="72"/>
      <c r="I34" s="72"/>
      <c r="J34" s="72"/>
      <c r="K34" s="72"/>
      <c r="L34" s="72"/>
    </row>
    <row r="35" spans="1:12" ht="28.5" customHeight="1" x14ac:dyDescent="0.2">
      <c r="A35" s="1514"/>
      <c r="B35" s="1671"/>
      <c r="C35" s="72"/>
      <c r="D35" s="72"/>
      <c r="E35" s="72"/>
      <c r="F35" s="72"/>
      <c r="G35" s="72"/>
      <c r="H35" s="72"/>
      <c r="I35" s="72"/>
      <c r="J35" s="72"/>
      <c r="K35" s="72"/>
      <c r="L35" s="72"/>
    </row>
    <row r="36" spans="1:12" ht="28.5" customHeight="1" x14ac:dyDescent="0.2">
      <c r="A36" s="1514"/>
      <c r="B36" s="1671"/>
      <c r="C36" s="72"/>
      <c r="D36" s="72"/>
      <c r="E36" s="72"/>
      <c r="F36" s="72"/>
      <c r="G36" s="72"/>
      <c r="H36" s="72"/>
      <c r="I36" s="72"/>
      <c r="J36" s="72"/>
      <c r="K36" s="72"/>
      <c r="L36" s="72"/>
    </row>
    <row r="37" spans="1:12" ht="5.25" customHeight="1" x14ac:dyDescent="0.2">
      <c r="A37" s="10"/>
      <c r="B37" s="837"/>
      <c r="C37" s="328"/>
      <c r="D37" s="328"/>
      <c r="E37" s="328"/>
      <c r="F37" s="328"/>
      <c r="G37" s="328"/>
      <c r="H37" s="328"/>
      <c r="I37" s="328"/>
      <c r="J37" s="328"/>
      <c r="K37" s="328"/>
      <c r="L37" s="328"/>
    </row>
    <row r="38" spans="1:12" ht="27.75" customHeight="1" thickBot="1" x14ac:dyDescent="0.25">
      <c r="A38" s="1196" t="s">
        <v>885</v>
      </c>
      <c r="B38" s="1162"/>
      <c r="C38" s="447">
        <f>IF(SUM(C16,C20:C23,C25:C30,C32:C36)='Combining FST'!G110,SUM(C16,C20:C23,C25:C30,C32:C36),"ERROR")</f>
        <v>0</v>
      </c>
      <c r="D38" s="447">
        <f>IF(SUM(D16,D20:D23,D25:D30,D32:D36)='Combining FST'!H110,SUM(D16,D20:D23,D25:D30,D32:D36),"ERROR")</f>
        <v>0</v>
      </c>
      <c r="E38" s="447">
        <f>IF(SUM(E16,E20:E23,E25:E30,E32:E36)='Combining FST'!I110,SUM(E16,E20:E23,E25:E30,E32:E36),"ERROR")</f>
        <v>0</v>
      </c>
      <c r="F38" s="447">
        <f>IF(SUM(F16,F20:F23,F25:F30,F32:F36)='Combining FST'!J110,SUM(F16,F20:F23,F25:F30,F32:F36),"ERROR")</f>
        <v>0</v>
      </c>
      <c r="G38" s="447">
        <f>IF(SUM(G16,G20:G23,G25:G30,G32:G36)='Combining FST'!K110,SUM(G16,G20:G23,G25:G30,G32:G36),"ERROR")</f>
        <v>0</v>
      </c>
      <c r="H38" s="447">
        <f>IF(SUM(H16,H20:H23,H25:H30,H32:H36)='Combining FST'!L110,SUM(H16,H20:H23,H25:H30,H32:H36),"ERROR")</f>
        <v>0</v>
      </c>
      <c r="I38" s="447">
        <f>IF(SUM(I16,I20:I23,I25:I30,I32:I36)='Combining FST'!M110,SUM(I16,I20:I23,I25:I30,I32:I36),"ERROR")</f>
        <v>0</v>
      </c>
      <c r="J38" s="447">
        <f>IF(SUM(J16,J20:J23,J25:J30,J32:J36)='Combining FST'!N110,SUM(J16,J20:J23,J25:J30,J32:J36),"ERROR")</f>
        <v>0</v>
      </c>
      <c r="K38" s="447">
        <f>IF(SUM(K16,K20:K23,K25:K30,K32:K36)='Combining FST'!P110,SUM(K16,K20:K23,K25:K30,K32:K36),"ERROR")</f>
        <v>0</v>
      </c>
      <c r="L38" s="447">
        <f>IF(SUM(L16,L20:L23,L25:L30,L32:L36)='Elimination Entries to FST'!I198,SUM(L16,L20:L23,L25:L30,L32:L36),"ERROR")</f>
        <v>0</v>
      </c>
    </row>
    <row r="39" spans="1:12" ht="12.75" thickTop="1" x14ac:dyDescent="0.2">
      <c r="C39" s="471" t="s">
        <v>636</v>
      </c>
      <c r="D39" s="471" t="s">
        <v>636</v>
      </c>
      <c r="E39" s="471" t="s">
        <v>636</v>
      </c>
      <c r="F39" s="471" t="s">
        <v>636</v>
      </c>
      <c r="G39" s="471" t="s">
        <v>636</v>
      </c>
      <c r="H39" s="471" t="s">
        <v>636</v>
      </c>
      <c r="I39" s="471" t="s">
        <v>636</v>
      </c>
      <c r="J39" s="471" t="s">
        <v>636</v>
      </c>
      <c r="K39" s="471" t="s">
        <v>636</v>
      </c>
      <c r="L39" s="471" t="s">
        <v>637</v>
      </c>
    </row>
    <row r="40" spans="1:12" ht="11.25" customHeight="1" x14ac:dyDescent="0.2">
      <c r="B40" s="841" t="s">
        <v>821</v>
      </c>
      <c r="C40" s="842">
        <f>SUM(C16,C20:C23,C25:C30,C32:C36)</f>
        <v>0</v>
      </c>
      <c r="D40" s="842">
        <f t="shared" ref="D40:I40" si="0">SUM(D16,D20:D23,D25:D30,D32:D36)</f>
        <v>0</v>
      </c>
      <c r="E40" s="842">
        <f t="shared" si="0"/>
        <v>0</v>
      </c>
      <c r="F40" s="842">
        <f t="shared" si="0"/>
        <v>0</v>
      </c>
      <c r="G40" s="842">
        <f>SUM(G16,G20:G23,G25:G30,G32:G36)</f>
        <v>0</v>
      </c>
      <c r="H40" s="842">
        <f t="shared" si="0"/>
        <v>0</v>
      </c>
      <c r="I40" s="842">
        <f t="shared" si="0"/>
        <v>0</v>
      </c>
      <c r="J40" s="842">
        <f>SUM(J16,J20:J23,J25:J30,J32:J36)</f>
        <v>0</v>
      </c>
      <c r="K40" s="842">
        <f>SUM(K16,K20:K23,K25:K30,K32:K36)</f>
        <v>0</v>
      </c>
      <c r="L40" s="842">
        <f>SUM(L16,L20:L23,L25:L30,L32:L36)</f>
        <v>0</v>
      </c>
    </row>
    <row r="41" spans="1:12" x14ac:dyDescent="0.2">
      <c r="B41" s="841" t="s">
        <v>410</v>
      </c>
      <c r="C41" s="842">
        <f>'Combining FST'!G110-'TAB F10, Net Inv in Cap Assets'!C40</f>
        <v>0</v>
      </c>
      <c r="D41" s="842">
        <f>'Combining FST'!H110-'TAB F10, Net Inv in Cap Assets'!D40</f>
        <v>0</v>
      </c>
      <c r="E41" s="842">
        <f>'Combining FST'!I110-'TAB F10, Net Inv in Cap Assets'!E40</f>
        <v>0</v>
      </c>
      <c r="F41" s="842">
        <f>'Combining FST'!J110-'TAB F10, Net Inv in Cap Assets'!F40</f>
        <v>0</v>
      </c>
      <c r="G41" s="842">
        <f>'Combining FST'!K110-'TAB F10, Net Inv in Cap Assets'!G40</f>
        <v>0</v>
      </c>
      <c r="H41" s="842">
        <f>'Combining FST'!L110-'TAB F10, Net Inv in Cap Assets'!H40</f>
        <v>0</v>
      </c>
      <c r="I41" s="842">
        <f>'Combining FST'!M110-'TAB F10, Net Inv in Cap Assets'!I40</f>
        <v>0</v>
      </c>
      <c r="J41" s="842">
        <f>'Combining FST'!N110-'TAB F10, Net Inv in Cap Assets'!J40</f>
        <v>0</v>
      </c>
      <c r="K41" s="842">
        <f>'Combining FST'!P110-'TAB F10, Net Inv in Cap Assets'!K40</f>
        <v>0</v>
      </c>
      <c r="L41" s="842">
        <f>'Elimination Entries to FST'!I198-'TAB F10, Net Inv in Cap Assets'!L40</f>
        <v>0</v>
      </c>
    </row>
    <row r="42" spans="1:12" x14ac:dyDescent="0.2">
      <c r="B42" s="841"/>
      <c r="C42" s="842"/>
      <c r="D42" s="842"/>
      <c r="E42" s="842"/>
      <c r="F42" s="842"/>
      <c r="G42" s="842"/>
      <c r="H42" s="842"/>
      <c r="I42" s="842"/>
      <c r="J42" s="842"/>
      <c r="K42" s="842"/>
      <c r="L42" s="842"/>
    </row>
    <row r="43" spans="1:12" x14ac:dyDescent="0.2">
      <c r="B43" s="832" t="s">
        <v>888</v>
      </c>
    </row>
    <row r="44" spans="1:12" x14ac:dyDescent="0.2">
      <c r="B44" s="832" t="s">
        <v>889</v>
      </c>
    </row>
    <row r="45" spans="1:12" x14ac:dyDescent="0.2">
      <c r="B45" s="168" t="s">
        <v>176</v>
      </c>
    </row>
    <row r="47" spans="1:12" ht="87" customHeight="1" x14ac:dyDescent="0.2">
      <c r="A47" s="1676" t="s">
        <v>412</v>
      </c>
      <c r="B47" s="1217"/>
      <c r="C47" s="861" t="str">
        <f>IF(C26="","N/A","Answer Required")</f>
        <v>N/A</v>
      </c>
      <c r="D47" s="579" t="str">
        <f t="shared" ref="D47:J47" si="1">IF(D26="","N/A","Answer Required")</f>
        <v>N/A</v>
      </c>
      <c r="E47" s="579" t="str">
        <f t="shared" si="1"/>
        <v>N/A</v>
      </c>
      <c r="F47" s="579" t="str">
        <f t="shared" si="1"/>
        <v>N/A</v>
      </c>
      <c r="G47" s="579" t="str">
        <f t="shared" si="1"/>
        <v>N/A</v>
      </c>
      <c r="H47" s="579" t="str">
        <f t="shared" si="1"/>
        <v>N/A</v>
      </c>
      <c r="I47" s="579" t="str">
        <f t="shared" si="1"/>
        <v>N/A</v>
      </c>
      <c r="J47" s="579" t="str">
        <f t="shared" si="1"/>
        <v>N/A</v>
      </c>
    </row>
    <row r="50" spans="1:12" x14ac:dyDescent="0.2">
      <c r="A50" s="167" t="s">
        <v>178</v>
      </c>
    </row>
    <row r="51" spans="1:12" ht="27.75" customHeight="1" x14ac:dyDescent="0.2">
      <c r="A51" s="1670" t="s">
        <v>981</v>
      </c>
      <c r="B51" s="1217"/>
      <c r="C51" s="475">
        <f>'Combining FST'!G74</f>
        <v>0</v>
      </c>
      <c r="D51" s="475">
        <f>'Combining FST'!H74</f>
        <v>0</v>
      </c>
      <c r="E51" s="475">
        <f>'Combining FST'!I74</f>
        <v>0</v>
      </c>
      <c r="F51" s="475">
        <f>'Combining FST'!J74</f>
        <v>0</v>
      </c>
      <c r="G51" s="475">
        <f>'Combining FST'!K74</f>
        <v>0</v>
      </c>
      <c r="H51" s="475">
        <f>'Combining FST'!L74</f>
        <v>0</v>
      </c>
      <c r="I51" s="475">
        <f>'Combining FST'!M74</f>
        <v>0</v>
      </c>
      <c r="J51" s="475">
        <f>'Combining FST'!N74</f>
        <v>0</v>
      </c>
      <c r="K51" s="475">
        <f>'Combining FST'!P74</f>
        <v>0</v>
      </c>
      <c r="L51" s="475">
        <f>'Elimination Entries to FST'!I147</f>
        <v>0</v>
      </c>
    </row>
    <row r="53" spans="1:12" ht="105" customHeight="1" x14ac:dyDescent="0.2"/>
    <row r="54" spans="1:12" hidden="1" x14ac:dyDescent="0.2">
      <c r="C54" s="169" t="s">
        <v>375</v>
      </c>
    </row>
    <row r="55" spans="1:12" hidden="1" x14ac:dyDescent="0.2">
      <c r="C55" s="169" t="s">
        <v>687</v>
      </c>
    </row>
    <row r="56" spans="1:12" hidden="1" x14ac:dyDescent="0.2">
      <c r="C56" s="169" t="s">
        <v>688</v>
      </c>
    </row>
    <row r="57" spans="1:12" hidden="1" x14ac:dyDescent="0.2">
      <c r="C57" s="169" t="s">
        <v>339</v>
      </c>
    </row>
  </sheetData>
  <sheetProtection algorithmName="SHA-512" hashValue="EZ/hg2yFsp1sjUcCXXniZVae3Uh41bD/YPnll0hrMzM9aNvl0F3kAaOcjWb8uP1ydAFc3GliClzNVqw90f0HlA==" saltValue="qdr1lcOdo+2v5Nl0zT2xkg==" spinCount="100000" sheet="1" objects="1" scenarios="1"/>
  <mergeCells count="21">
    <mergeCell ref="C1:F1"/>
    <mergeCell ref="C6:F6"/>
    <mergeCell ref="A25:B25"/>
    <mergeCell ref="C2:F2"/>
    <mergeCell ref="C3:F3"/>
    <mergeCell ref="C4:F4"/>
    <mergeCell ref="C5:F5"/>
    <mergeCell ref="A26:B26"/>
    <mergeCell ref="K13:K14"/>
    <mergeCell ref="L13:L14"/>
    <mergeCell ref="A47:B47"/>
    <mergeCell ref="A28:B28"/>
    <mergeCell ref="A29:B29"/>
    <mergeCell ref="A30:B30"/>
    <mergeCell ref="A33:B33"/>
    <mergeCell ref="A51:B51"/>
    <mergeCell ref="A38:B38"/>
    <mergeCell ref="A36:B36"/>
    <mergeCell ref="A32:B32"/>
    <mergeCell ref="A34:B34"/>
    <mergeCell ref="A35:B35"/>
  </mergeCells>
  <phoneticPr fontId="12" type="noConversion"/>
  <conditionalFormatting sqref="C47:J47">
    <cfRule type="cellIs" dxfId="13" priority="1" operator="equal">
      <formula>"Answer Required"</formula>
    </cfRule>
  </conditionalFormatting>
  <dataValidations count="3">
    <dataValidation type="whole" allowBlank="1" showInputMessage="1" showErrorMessage="1" error="Enter whole number." sqref="C32:L36 C25:L30" xr:uid="{00000000-0002-0000-1C00-000000000000}">
      <formula1>-10000000000000</formula1>
      <formula2>10000000000000</formula2>
    </dataValidation>
    <dataValidation type="list" allowBlank="1" showInputMessage="1" showErrorMessage="1" error="Enter yes, no, or n/a." sqref="C47:J47" xr:uid="{00000000-0002-0000-1C00-000001000000}">
      <formula1>$C$55:$C$57</formula1>
    </dataValidation>
    <dataValidation type="whole" allowBlank="1" showInputMessage="1" showErrorMessage="1" error="Enter a 3-digit agency control number." sqref="C1:F1" xr:uid="{00000000-0002-0000-1C00-000002000000}">
      <formula1>100</formula1>
      <formula2>999</formula2>
    </dataValidation>
  </dataValidations>
  <pageMargins left="0.7" right="0.7" top="1" bottom="0.75" header="0.3" footer="0.3"/>
  <pageSetup paperSize="5" scale="54" fitToHeight="2" orientation="landscape" cellComments="asDisplayed" r:id="rId1"/>
  <headerFooter alignWithMargins="0">
    <oddHeader>&amp;C&amp;"Arial,Bold"&amp;11Attachment HE-10
Financial Statement Template
&amp;A</oddHeader>
    <oddFooter>&amp;L&amp;"Arial,Regular"&amp;F \ &amp;A&amp;R&amp;"Arial,Regular"Page &amp;P</oddFoot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6"/>
  <sheetViews>
    <sheetView zoomScale="90" zoomScaleNormal="90" workbookViewId="0">
      <pane xSplit="3" ySplit="1" topLeftCell="P2" activePane="bottomRight" state="frozen"/>
      <selection activeCell="AD254" sqref="AD254"/>
      <selection pane="topRight" activeCell="AD254" sqref="AD254"/>
      <selection pane="bottomLeft" activeCell="AD254" sqref="AD254"/>
      <selection pane="bottomRight"/>
    </sheetView>
  </sheetViews>
  <sheetFormatPr defaultColWidth="10.6640625" defaultRowHeight="12.75" x14ac:dyDescent="0.2"/>
  <cols>
    <col min="1" max="1" width="42.1640625" style="85" customWidth="1"/>
    <col min="2" max="2" width="1.6640625" style="85" customWidth="1"/>
    <col min="3" max="3" width="2.33203125" style="85" customWidth="1"/>
    <col min="4" max="4" width="15.33203125" style="86" customWidth="1"/>
    <col min="5" max="25" width="19.5" style="546" customWidth="1"/>
    <col min="26" max="26" width="10.6640625" style="546" customWidth="1"/>
    <col min="27" max="27" width="21" style="546" customWidth="1"/>
    <col min="28" max="28" width="9.1640625" style="546" customWidth="1"/>
    <col min="29" max="29" width="24.5" style="546" customWidth="1"/>
    <col min="30" max="30" width="20.1640625" style="546" customWidth="1"/>
    <col min="31" max="16384" width="10.6640625" style="546"/>
  </cols>
  <sheetData>
    <row r="1" spans="1:30" ht="93.75" customHeight="1" x14ac:dyDescent="0.2">
      <c r="A1" s="574" t="s">
        <v>1722</v>
      </c>
      <c r="B1" s="78"/>
      <c r="C1" s="848"/>
      <c r="D1" s="810" t="s">
        <v>1258</v>
      </c>
      <c r="E1" s="595" t="s">
        <v>1193</v>
      </c>
      <c r="F1" s="595" t="s">
        <v>1211</v>
      </c>
      <c r="G1" s="595" t="s">
        <v>1195</v>
      </c>
      <c r="H1" s="595" t="s">
        <v>1200</v>
      </c>
      <c r="I1" s="595" t="s">
        <v>1179</v>
      </c>
      <c r="J1" s="595" t="s">
        <v>1175</v>
      </c>
      <c r="K1" s="595" t="s">
        <v>1177</v>
      </c>
      <c r="L1" s="595" t="s">
        <v>1207</v>
      </c>
      <c r="M1" s="595" t="s">
        <v>1173</v>
      </c>
      <c r="N1" s="595" t="s">
        <v>1183</v>
      </c>
      <c r="O1" s="595" t="s">
        <v>1203</v>
      </c>
      <c r="P1" s="595" t="s">
        <v>1181</v>
      </c>
      <c r="Q1" s="595" t="s">
        <v>1205</v>
      </c>
      <c r="R1" s="595" t="s">
        <v>1209</v>
      </c>
      <c r="S1" s="595" t="s">
        <v>1166</v>
      </c>
      <c r="T1" s="595" t="s">
        <v>1187</v>
      </c>
      <c r="U1" s="595" t="s">
        <v>1189</v>
      </c>
      <c r="V1" s="596" t="s">
        <v>1197</v>
      </c>
      <c r="W1" s="596" t="s">
        <v>1170</v>
      </c>
      <c r="X1" s="596" t="s">
        <v>1169</v>
      </c>
      <c r="Y1" s="596" t="s">
        <v>1172</v>
      </c>
      <c r="AA1" s="546" t="s">
        <v>750</v>
      </c>
      <c r="AC1" s="614" t="s">
        <v>1606</v>
      </c>
      <c r="AD1" s="637" t="s">
        <v>803</v>
      </c>
    </row>
    <row r="2" spans="1:30" x14ac:dyDescent="0.2">
      <c r="A2" s="85" t="s">
        <v>243</v>
      </c>
    </row>
    <row r="3" spans="1:30" x14ac:dyDescent="0.2">
      <c r="A3" s="85" t="s">
        <v>191</v>
      </c>
      <c r="C3" s="87" t="s">
        <v>503</v>
      </c>
      <c r="D3" s="566"/>
      <c r="E3" s="860">
        <v>21039927</v>
      </c>
      <c r="F3" s="860">
        <v>26652604</v>
      </c>
      <c r="G3" s="860">
        <v>28931278</v>
      </c>
      <c r="H3" s="860">
        <v>0</v>
      </c>
      <c r="I3" s="860">
        <v>86239393</v>
      </c>
      <c r="J3" s="860">
        <v>5468138</v>
      </c>
      <c r="K3" s="860">
        <v>9518124</v>
      </c>
      <c r="L3" s="860">
        <v>0</v>
      </c>
      <c r="M3" s="860">
        <v>5941099</v>
      </c>
      <c r="N3" s="860">
        <v>36902517</v>
      </c>
      <c r="O3" s="860">
        <v>1627079</v>
      </c>
      <c r="P3" s="860">
        <v>15644975</v>
      </c>
      <c r="Q3" s="860">
        <v>0</v>
      </c>
      <c r="R3" s="860">
        <v>285000</v>
      </c>
      <c r="S3" s="1128">
        <f>134304779-471692</f>
        <v>133833087</v>
      </c>
      <c r="T3" s="860">
        <v>84927811</v>
      </c>
      <c r="U3" s="860">
        <v>25466942</v>
      </c>
      <c r="V3" s="860">
        <v>73089912</v>
      </c>
      <c r="W3" s="860">
        <v>3742372</v>
      </c>
      <c r="X3" s="860">
        <v>49652000</v>
      </c>
      <c r="Y3" s="860">
        <v>19996324</v>
      </c>
      <c r="AA3" s="568">
        <f>SUM(E3:Y3)</f>
        <v>628958582</v>
      </c>
      <c r="AB3" s="568"/>
      <c r="AC3" s="568">
        <v>629430274</v>
      </c>
      <c r="AD3" s="615">
        <f>AA3-AC3</f>
        <v>-471692</v>
      </c>
    </row>
    <row r="4" spans="1:30" x14ac:dyDescent="0.2">
      <c r="A4" s="85" t="s">
        <v>193</v>
      </c>
      <c r="C4" s="87"/>
      <c r="D4" s="566"/>
      <c r="E4" s="860">
        <v>6450979</v>
      </c>
      <c r="F4" s="860">
        <v>225677812</v>
      </c>
      <c r="G4" s="860">
        <v>95057012</v>
      </c>
      <c r="H4" s="860">
        <v>24351759</v>
      </c>
      <c r="I4" s="860">
        <v>42451256</v>
      </c>
      <c r="J4" s="860">
        <v>12892282</v>
      </c>
      <c r="K4" s="860">
        <v>5627914</v>
      </c>
      <c r="L4" s="860">
        <v>0</v>
      </c>
      <c r="M4" s="860">
        <v>11359958</v>
      </c>
      <c r="N4" s="860">
        <v>95904423</v>
      </c>
      <c r="O4" s="860">
        <v>190270</v>
      </c>
      <c r="P4" s="860">
        <v>81385505</v>
      </c>
      <c r="Q4" s="860">
        <v>0</v>
      </c>
      <c r="R4" s="860">
        <v>2524758</v>
      </c>
      <c r="S4" s="860">
        <v>557660752</v>
      </c>
      <c r="T4" s="860">
        <v>30032514</v>
      </c>
      <c r="U4" s="860">
        <v>109592506</v>
      </c>
      <c r="V4" s="860">
        <v>49326121</v>
      </c>
      <c r="W4" s="860">
        <v>4302901</v>
      </c>
      <c r="X4" s="1128">
        <f>432782000+3345000</f>
        <v>436127000</v>
      </c>
      <c r="Y4" s="860">
        <v>39296253</v>
      </c>
      <c r="AA4" s="568">
        <f>SUM(E4:Y4)</f>
        <v>1830211975</v>
      </c>
      <c r="AB4" s="568"/>
      <c r="AC4" s="568">
        <v>1830211975</v>
      </c>
      <c r="AD4" s="615">
        <f>AA4-AC4</f>
        <v>0</v>
      </c>
    </row>
    <row r="5" spans="1:30" ht="22.5" x14ac:dyDescent="0.2">
      <c r="A5" s="847" t="s">
        <v>509</v>
      </c>
      <c r="C5" s="87"/>
      <c r="D5" s="566"/>
      <c r="E5" s="860">
        <v>0</v>
      </c>
      <c r="F5" s="860">
        <v>80805082</v>
      </c>
      <c r="G5" s="860">
        <v>5016826</v>
      </c>
      <c r="H5" s="860">
        <v>0</v>
      </c>
      <c r="I5" s="860">
        <v>2575248</v>
      </c>
      <c r="J5" s="860">
        <v>0</v>
      </c>
      <c r="K5" s="860">
        <v>0</v>
      </c>
      <c r="L5" s="860">
        <v>0</v>
      </c>
      <c r="M5" s="860">
        <v>0</v>
      </c>
      <c r="N5" s="860">
        <v>0</v>
      </c>
      <c r="O5" s="860">
        <v>0</v>
      </c>
      <c r="P5" s="860">
        <v>0</v>
      </c>
      <c r="Q5" s="860">
        <v>0</v>
      </c>
      <c r="R5" s="860">
        <v>0</v>
      </c>
      <c r="S5" s="860">
        <v>0</v>
      </c>
      <c r="T5" s="860">
        <v>0</v>
      </c>
      <c r="U5" s="860">
        <v>0</v>
      </c>
      <c r="V5" s="860">
        <v>148174</v>
      </c>
      <c r="W5" s="860">
        <v>0</v>
      </c>
      <c r="X5" s="860">
        <v>0</v>
      </c>
      <c r="Y5" s="860">
        <v>119000</v>
      </c>
      <c r="AA5" s="568">
        <f>SUM(E5:Y5)</f>
        <v>88664330</v>
      </c>
      <c r="AB5" s="568"/>
      <c r="AC5" s="568">
        <v>88664330</v>
      </c>
      <c r="AD5" s="615">
        <f>AA5-AC5</f>
        <v>0</v>
      </c>
    </row>
    <row r="6" spans="1:30" x14ac:dyDescent="0.2">
      <c r="A6" s="85" t="s">
        <v>194</v>
      </c>
      <c r="C6" s="87"/>
      <c r="D6" s="566"/>
      <c r="E6" s="860">
        <v>0</v>
      </c>
      <c r="F6" s="860">
        <v>0</v>
      </c>
      <c r="G6" s="860">
        <v>0</v>
      </c>
      <c r="H6" s="860">
        <v>0</v>
      </c>
      <c r="I6" s="860">
        <v>0</v>
      </c>
      <c r="J6" s="860">
        <v>0</v>
      </c>
      <c r="K6" s="860">
        <v>0</v>
      </c>
      <c r="L6" s="860">
        <v>0</v>
      </c>
      <c r="M6" s="860">
        <v>0</v>
      </c>
      <c r="N6" s="860">
        <v>0</v>
      </c>
      <c r="O6" s="860">
        <v>0</v>
      </c>
      <c r="P6" s="860">
        <v>0</v>
      </c>
      <c r="Q6" s="860">
        <v>0</v>
      </c>
      <c r="R6" s="860">
        <v>0</v>
      </c>
      <c r="S6" s="860">
        <v>0</v>
      </c>
      <c r="T6" s="860">
        <v>0</v>
      </c>
      <c r="U6" s="860">
        <v>0</v>
      </c>
      <c r="V6" s="860">
        <v>0</v>
      </c>
      <c r="W6" s="860">
        <v>0</v>
      </c>
      <c r="X6" s="860">
        <v>392000</v>
      </c>
      <c r="Y6" s="860">
        <v>0</v>
      </c>
      <c r="AA6" s="568">
        <f>SUM(E6:Y6)</f>
        <v>392000</v>
      </c>
      <c r="AB6" s="568"/>
      <c r="AC6" s="568">
        <v>392000</v>
      </c>
      <c r="AD6" s="615">
        <f>AA6-AC6</f>
        <v>0</v>
      </c>
    </row>
    <row r="7" spans="1:30" x14ac:dyDescent="0.2">
      <c r="A7" s="85" t="s">
        <v>310</v>
      </c>
      <c r="C7" s="87"/>
      <c r="D7" s="277"/>
      <c r="E7" s="277"/>
      <c r="F7" s="277"/>
      <c r="G7" s="277"/>
      <c r="H7" s="277"/>
      <c r="I7" s="277"/>
      <c r="J7" s="277"/>
      <c r="K7" s="277"/>
      <c r="L7" s="277"/>
      <c r="M7" s="277"/>
      <c r="N7" s="277"/>
      <c r="O7" s="277"/>
      <c r="P7" s="277"/>
      <c r="Q7" s="277"/>
      <c r="R7" s="277"/>
      <c r="S7" s="277"/>
      <c r="T7" s="277"/>
      <c r="U7" s="277"/>
      <c r="V7" s="277"/>
      <c r="W7" s="277"/>
      <c r="X7" s="277"/>
      <c r="Y7" s="277"/>
      <c r="AA7" s="568"/>
      <c r="AB7" s="568"/>
      <c r="AC7" s="568"/>
      <c r="AD7" s="615"/>
    </row>
    <row r="8" spans="1:30" x14ac:dyDescent="0.2">
      <c r="A8" s="623"/>
      <c r="C8" s="87"/>
      <c r="D8" s="566"/>
      <c r="E8" s="566">
        <v>0</v>
      </c>
      <c r="F8" s="566">
        <v>0</v>
      </c>
      <c r="G8" s="566">
        <v>0</v>
      </c>
      <c r="H8" s="566">
        <v>0</v>
      </c>
      <c r="I8" s="566">
        <v>0</v>
      </c>
      <c r="J8" s="566">
        <v>0</v>
      </c>
      <c r="K8" s="566">
        <v>0</v>
      </c>
      <c r="L8" s="566">
        <v>0</v>
      </c>
      <c r="M8" s="566">
        <v>0</v>
      </c>
      <c r="N8" s="566">
        <v>0</v>
      </c>
      <c r="O8" s="566">
        <v>0</v>
      </c>
      <c r="P8" s="566">
        <v>0</v>
      </c>
      <c r="Q8" s="566">
        <v>0</v>
      </c>
      <c r="R8" s="566">
        <v>0</v>
      </c>
      <c r="S8" s="566">
        <v>0</v>
      </c>
      <c r="T8" s="566">
        <v>0</v>
      </c>
      <c r="U8" s="566">
        <v>0</v>
      </c>
      <c r="V8" s="566">
        <v>0</v>
      </c>
      <c r="W8" s="566">
        <v>0</v>
      </c>
      <c r="X8" s="566">
        <v>0</v>
      </c>
      <c r="Y8" s="566">
        <v>0</v>
      </c>
      <c r="AA8" s="568">
        <f>SUM(E8:Y8)</f>
        <v>0</v>
      </c>
      <c r="AB8" s="568"/>
      <c r="AC8" s="568">
        <f>SUM(G8:AA8)</f>
        <v>0</v>
      </c>
      <c r="AD8" s="615">
        <f>AA8-AC8</f>
        <v>0</v>
      </c>
    </row>
    <row r="9" spans="1:30" x14ac:dyDescent="0.2">
      <c r="A9" s="85" t="s">
        <v>244</v>
      </c>
      <c r="C9" s="87"/>
      <c r="D9" s="114">
        <f>SUM(D3:D8)</f>
        <v>0</v>
      </c>
      <c r="E9" s="114">
        <f t="shared" ref="E9:Y9" si="0">SUM(E3:E8)</f>
        <v>27490906</v>
      </c>
      <c r="F9" s="114">
        <f t="shared" si="0"/>
        <v>333135498</v>
      </c>
      <c r="G9" s="114">
        <f t="shared" si="0"/>
        <v>129005116</v>
      </c>
      <c r="H9" s="114">
        <f t="shared" si="0"/>
        <v>24351759</v>
      </c>
      <c r="I9" s="114">
        <f t="shared" si="0"/>
        <v>131265897</v>
      </c>
      <c r="J9" s="114">
        <f t="shared" si="0"/>
        <v>18360420</v>
      </c>
      <c r="K9" s="114">
        <f t="shared" si="0"/>
        <v>15146038</v>
      </c>
      <c r="L9" s="114">
        <f t="shared" si="0"/>
        <v>0</v>
      </c>
      <c r="M9" s="114">
        <f t="shared" si="0"/>
        <v>17301057</v>
      </c>
      <c r="N9" s="114">
        <f t="shared" si="0"/>
        <v>132806940</v>
      </c>
      <c r="O9" s="114">
        <f t="shared" si="0"/>
        <v>1817349</v>
      </c>
      <c r="P9" s="114">
        <f t="shared" si="0"/>
        <v>97030480</v>
      </c>
      <c r="Q9" s="114">
        <f t="shared" si="0"/>
        <v>0</v>
      </c>
      <c r="R9" s="114">
        <f t="shared" si="0"/>
        <v>2809758</v>
      </c>
      <c r="S9" s="114">
        <f t="shared" si="0"/>
        <v>691493839</v>
      </c>
      <c r="T9" s="114">
        <f t="shared" si="0"/>
        <v>114960325</v>
      </c>
      <c r="U9" s="114">
        <f t="shared" si="0"/>
        <v>135059448</v>
      </c>
      <c r="V9" s="114">
        <f t="shared" si="0"/>
        <v>122564207</v>
      </c>
      <c r="W9" s="114">
        <f t="shared" si="0"/>
        <v>8045273</v>
      </c>
      <c r="X9" s="114">
        <f t="shared" si="0"/>
        <v>486171000</v>
      </c>
      <c r="Y9" s="114">
        <f t="shared" si="0"/>
        <v>59411577</v>
      </c>
      <c r="AA9" s="114">
        <f>SUM(AA3:AA8)</f>
        <v>2548226887</v>
      </c>
      <c r="AB9" s="114"/>
      <c r="AC9" s="114">
        <f>SUM(AC3:AC8)</f>
        <v>2548698579</v>
      </c>
      <c r="AD9" s="616">
        <f>AA9-AC9</f>
        <v>-471692</v>
      </c>
    </row>
    <row r="10" spans="1:30" ht="15.75" x14ac:dyDescent="0.25">
      <c r="C10" s="87"/>
      <c r="D10" s="716"/>
      <c r="E10" s="716"/>
      <c r="F10" s="716"/>
      <c r="G10" s="716"/>
      <c r="H10" s="716"/>
      <c r="I10" s="716"/>
      <c r="J10" s="716"/>
      <c r="K10" s="716"/>
      <c r="L10" s="716"/>
      <c r="M10" s="716"/>
      <c r="N10" s="716"/>
      <c r="O10" s="716"/>
      <c r="P10" s="716"/>
      <c r="Q10" s="716"/>
      <c r="R10" s="716"/>
      <c r="S10" s="716"/>
      <c r="T10" s="716"/>
      <c r="U10" s="716"/>
      <c r="V10" s="716"/>
      <c r="W10" s="716"/>
      <c r="X10" s="716"/>
      <c r="Y10" s="716"/>
    </row>
    <row r="11" spans="1:30" x14ac:dyDescent="0.2">
      <c r="A11" s="85" t="s">
        <v>1416</v>
      </c>
      <c r="C11" s="87"/>
      <c r="D11" s="92"/>
      <c r="E11" s="92"/>
      <c r="F11" s="92"/>
      <c r="G11" s="92"/>
      <c r="H11" s="92"/>
      <c r="I11" s="92"/>
      <c r="J11" s="92"/>
      <c r="K11" s="92"/>
      <c r="L11" s="92"/>
      <c r="M11" s="92"/>
      <c r="N11" s="92"/>
      <c r="O11" s="92"/>
      <c r="P11" s="92"/>
      <c r="Q11" s="92"/>
      <c r="R11" s="92"/>
      <c r="S11" s="92"/>
      <c r="T11" s="92"/>
      <c r="U11" s="92"/>
      <c r="V11" s="92"/>
      <c r="W11" s="92"/>
      <c r="X11" s="92"/>
      <c r="Y11" s="92"/>
    </row>
    <row r="12" spans="1:30" x14ac:dyDescent="0.2">
      <c r="A12" s="85" t="s">
        <v>195</v>
      </c>
      <c r="C12" s="87"/>
      <c r="D12" s="566"/>
      <c r="E12" s="566">
        <v>659125440</v>
      </c>
      <c r="F12" s="566">
        <v>1111655904</v>
      </c>
      <c r="G12" s="566">
        <v>1715382588</v>
      </c>
      <c r="H12" s="566">
        <v>13205409</v>
      </c>
      <c r="I12" s="566">
        <v>1535174332</v>
      </c>
      <c r="J12" s="566">
        <v>356222089</v>
      </c>
      <c r="K12" s="860">
        <v>542752378</v>
      </c>
      <c r="L12" s="566">
        <v>7469005</v>
      </c>
      <c r="M12" s="566">
        <v>445537873</v>
      </c>
      <c r="N12" s="1128">
        <f>924148890+17295646</f>
        <v>941444536</v>
      </c>
      <c r="O12" s="566">
        <v>37486842</v>
      </c>
      <c r="P12" s="566">
        <v>503161546</v>
      </c>
      <c r="Q12" s="566">
        <v>0</v>
      </c>
      <c r="R12" s="566">
        <v>18832849</v>
      </c>
      <c r="S12" s="1128">
        <f>5652482495+19252364</f>
        <v>5671734859</v>
      </c>
      <c r="T12" s="566">
        <v>1785722597</v>
      </c>
      <c r="U12" s="566">
        <v>2068751107</v>
      </c>
      <c r="V12" s="566">
        <v>1689582121</v>
      </c>
      <c r="W12" s="566">
        <v>534914461</v>
      </c>
      <c r="X12" s="566">
        <v>2453279000</v>
      </c>
      <c r="Y12" s="566">
        <v>392702095</v>
      </c>
      <c r="AA12" s="568">
        <f t="shared" ref="AA12:AA17" si="1">SUM(E12:Y12)</f>
        <v>22484137031</v>
      </c>
      <c r="AB12" s="568"/>
      <c r="AC12" s="568">
        <v>22464884667</v>
      </c>
      <c r="AD12" s="615">
        <f t="shared" ref="AD12:AD32" si="2">AA12-AC12</f>
        <v>19252364</v>
      </c>
    </row>
    <row r="13" spans="1:30" x14ac:dyDescent="0.2">
      <c r="A13" s="85" t="s">
        <v>718</v>
      </c>
      <c r="C13" s="87"/>
      <c r="D13" s="566"/>
      <c r="E13" s="566">
        <v>26008875</v>
      </c>
      <c r="F13" s="566">
        <v>109604023</v>
      </c>
      <c r="G13" s="566">
        <v>158682854</v>
      </c>
      <c r="H13" s="566">
        <v>28526130</v>
      </c>
      <c r="I13" s="566">
        <v>122410713</v>
      </c>
      <c r="J13" s="566">
        <v>21505765</v>
      </c>
      <c r="K13" s="566">
        <v>26132536</v>
      </c>
      <c r="L13" s="566">
        <v>3480269</v>
      </c>
      <c r="M13" s="566">
        <v>56363100</v>
      </c>
      <c r="N13" s="1128">
        <f>106822706+17619038</f>
        <v>124441744</v>
      </c>
      <c r="O13" s="566">
        <v>3529726</v>
      </c>
      <c r="P13" s="566">
        <v>45207963</v>
      </c>
      <c r="Q13" s="1128">
        <f>0+3979337</f>
        <v>3979337</v>
      </c>
      <c r="R13" s="566">
        <v>1271300</v>
      </c>
      <c r="S13" s="1128">
        <f>1377664436-31997072</f>
        <v>1345667364</v>
      </c>
      <c r="T13" s="566">
        <v>279470264</v>
      </c>
      <c r="U13" s="566">
        <v>728337983</v>
      </c>
      <c r="V13" s="566">
        <v>242516611</v>
      </c>
      <c r="W13" s="566">
        <v>23911574</v>
      </c>
      <c r="X13" s="566">
        <v>899137000</v>
      </c>
      <c r="Y13" s="566">
        <v>40939825</v>
      </c>
      <c r="AA13" s="568">
        <f>SUM(E13:Y13)</f>
        <v>4291124956</v>
      </c>
      <c r="AB13" s="568"/>
      <c r="AC13" s="568">
        <v>4323122028</v>
      </c>
      <c r="AD13" s="615">
        <f>AA13-AC13</f>
        <v>-31997072</v>
      </c>
    </row>
    <row r="14" spans="1:30" x14ac:dyDescent="0.2">
      <c r="A14" s="85" t="s">
        <v>237</v>
      </c>
      <c r="C14" s="87"/>
      <c r="D14" s="566"/>
      <c r="E14" s="566">
        <v>16029057</v>
      </c>
      <c r="F14" s="566">
        <v>87206581</v>
      </c>
      <c r="G14" s="566">
        <v>122338581</v>
      </c>
      <c r="H14" s="566">
        <v>0</v>
      </c>
      <c r="I14" s="566">
        <v>117925809</v>
      </c>
      <c r="J14" s="566">
        <v>60870977</v>
      </c>
      <c r="K14" s="566">
        <v>46079108</v>
      </c>
      <c r="L14" s="566">
        <v>0</v>
      </c>
      <c r="M14" s="566">
        <v>9428539</v>
      </c>
      <c r="N14" s="1128">
        <f>2378651+3983186</f>
        <v>6361837</v>
      </c>
      <c r="O14" s="566">
        <v>0</v>
      </c>
      <c r="P14" s="566">
        <v>24749810</v>
      </c>
      <c r="Q14" s="1128">
        <f>4174336-3979337</f>
        <v>194999</v>
      </c>
      <c r="R14" s="566">
        <v>0</v>
      </c>
      <c r="S14" s="566">
        <v>659421863</v>
      </c>
      <c r="T14" s="566">
        <v>0</v>
      </c>
      <c r="U14" s="566">
        <v>0</v>
      </c>
      <c r="V14" s="566">
        <v>87389800</v>
      </c>
      <c r="W14" s="566">
        <v>0</v>
      </c>
      <c r="X14" s="566">
        <v>146555000</v>
      </c>
      <c r="Y14" s="566">
        <v>31489107</v>
      </c>
      <c r="AA14" s="568">
        <f>SUM(E14:Z14)</f>
        <v>1416041068</v>
      </c>
      <c r="AB14" s="568"/>
      <c r="AC14" s="568">
        <v>1416041068</v>
      </c>
      <c r="AD14" s="615">
        <f>AA14-AC14</f>
        <v>0</v>
      </c>
    </row>
    <row r="15" spans="1:30" x14ac:dyDescent="0.2">
      <c r="A15" s="85" t="s">
        <v>656</v>
      </c>
      <c r="C15" s="87"/>
      <c r="D15" s="566"/>
      <c r="E15" s="566">
        <v>40456173</v>
      </c>
      <c r="F15" s="566">
        <v>26846101</v>
      </c>
      <c r="G15" s="566">
        <v>38321450</v>
      </c>
      <c r="H15" s="566">
        <v>7384741</v>
      </c>
      <c r="I15" s="566">
        <v>68763733</v>
      </c>
      <c r="J15" s="566">
        <v>0</v>
      </c>
      <c r="K15" s="566">
        <v>14125488</v>
      </c>
      <c r="L15" s="566">
        <v>0</v>
      </c>
      <c r="M15" s="566">
        <v>20037136</v>
      </c>
      <c r="N15" s="1128">
        <f>11778665+4008761</f>
        <v>15787426</v>
      </c>
      <c r="O15" s="566">
        <v>5338280</v>
      </c>
      <c r="P15" s="566">
        <v>22347600</v>
      </c>
      <c r="Q15" s="566">
        <v>0</v>
      </c>
      <c r="R15" s="566">
        <v>0</v>
      </c>
      <c r="S15" s="566">
        <v>245370855</v>
      </c>
      <c r="T15" s="566">
        <v>24308925</v>
      </c>
      <c r="U15" s="566">
        <v>6984481</v>
      </c>
      <c r="V15" s="566">
        <v>112554900</v>
      </c>
      <c r="W15" s="566">
        <v>53109940</v>
      </c>
      <c r="X15" s="566">
        <v>0</v>
      </c>
      <c r="Y15" s="566">
        <v>0</v>
      </c>
      <c r="AA15" s="568">
        <f>SUM(E15:Z15)</f>
        <v>701737229</v>
      </c>
      <c r="AB15" s="568"/>
      <c r="AC15" s="568">
        <v>701737229</v>
      </c>
      <c r="AD15" s="615">
        <f t="shared" si="2"/>
        <v>0</v>
      </c>
    </row>
    <row r="16" spans="1:30" ht="22.5" x14ac:dyDescent="0.2">
      <c r="A16" s="847" t="s">
        <v>510</v>
      </c>
      <c r="C16" s="87"/>
      <c r="D16" s="566"/>
      <c r="E16" s="566">
        <v>0</v>
      </c>
      <c r="F16" s="566">
        <v>0</v>
      </c>
      <c r="G16" s="566">
        <v>0</v>
      </c>
      <c r="H16" s="566">
        <v>0</v>
      </c>
      <c r="I16" s="566">
        <v>0</v>
      </c>
      <c r="J16" s="566">
        <v>0</v>
      </c>
      <c r="K16" s="566">
        <v>0</v>
      </c>
      <c r="L16" s="566">
        <v>0</v>
      </c>
      <c r="M16" s="566">
        <v>0</v>
      </c>
      <c r="N16" s="566">
        <v>0</v>
      </c>
      <c r="O16" s="566">
        <v>0</v>
      </c>
      <c r="P16" s="566">
        <v>0</v>
      </c>
      <c r="Q16" s="566">
        <v>0</v>
      </c>
      <c r="R16" s="566">
        <v>0</v>
      </c>
      <c r="S16" s="566">
        <v>0</v>
      </c>
      <c r="T16" s="566">
        <v>0</v>
      </c>
      <c r="U16" s="566">
        <v>0</v>
      </c>
      <c r="V16" s="566">
        <v>0</v>
      </c>
      <c r="W16" s="566">
        <v>0</v>
      </c>
      <c r="X16" s="566">
        <v>0</v>
      </c>
      <c r="Y16" s="566">
        <v>0</v>
      </c>
      <c r="AA16" s="568">
        <f t="shared" si="1"/>
        <v>0</v>
      </c>
      <c r="AB16" s="568"/>
      <c r="AC16" s="568">
        <v>0</v>
      </c>
      <c r="AD16" s="615">
        <f>AA16-AC16</f>
        <v>0</v>
      </c>
    </row>
    <row r="17" spans="1:30" x14ac:dyDescent="0.2">
      <c r="A17" s="85" t="s">
        <v>719</v>
      </c>
      <c r="C17" s="87"/>
      <c r="D17" s="566"/>
      <c r="E17" s="566">
        <v>16395809</v>
      </c>
      <c r="F17" s="566">
        <v>69309126</v>
      </c>
      <c r="G17" s="566">
        <v>110163222</v>
      </c>
      <c r="H17" s="566">
        <v>0</v>
      </c>
      <c r="I17" s="566">
        <v>65444110</v>
      </c>
      <c r="J17" s="566">
        <v>13600481</v>
      </c>
      <c r="K17" s="566">
        <v>11750687</v>
      </c>
      <c r="L17" s="566">
        <v>0</v>
      </c>
      <c r="M17" s="566">
        <v>5507310</v>
      </c>
      <c r="N17" s="566">
        <v>62002702</v>
      </c>
      <c r="O17" s="566">
        <v>49971</v>
      </c>
      <c r="P17" s="566">
        <v>29517347</v>
      </c>
      <c r="Q17" s="566">
        <v>0</v>
      </c>
      <c r="R17" s="566">
        <v>0</v>
      </c>
      <c r="S17" s="566">
        <v>126799883</v>
      </c>
      <c r="T17" s="566">
        <v>100844928</v>
      </c>
      <c r="U17" s="566">
        <v>0</v>
      </c>
      <c r="V17" s="566">
        <v>42838454</v>
      </c>
      <c r="W17" s="566">
        <v>11287286</v>
      </c>
      <c r="X17" s="566">
        <v>79305000</v>
      </c>
      <c r="Y17" s="566">
        <v>20374790</v>
      </c>
      <c r="AA17" s="568">
        <f t="shared" si="1"/>
        <v>765191106</v>
      </c>
      <c r="AB17" s="568"/>
      <c r="AC17" s="568">
        <v>765191106</v>
      </c>
      <c r="AD17" s="615">
        <f t="shared" si="2"/>
        <v>0</v>
      </c>
    </row>
    <row r="18" spans="1:30" x14ac:dyDescent="0.2">
      <c r="A18" s="149" t="s">
        <v>894</v>
      </c>
      <c r="C18" s="87"/>
      <c r="D18" s="277"/>
      <c r="E18" s="277"/>
      <c r="F18" s="277"/>
      <c r="G18" s="277"/>
      <c r="H18" s="277"/>
      <c r="I18" s="277"/>
      <c r="J18" s="277"/>
      <c r="K18" s="277"/>
      <c r="L18" s="277"/>
      <c r="M18" s="277"/>
      <c r="N18" s="277"/>
      <c r="O18" s="277"/>
      <c r="P18" s="277"/>
      <c r="Q18" s="277"/>
      <c r="R18" s="277"/>
      <c r="S18" s="277"/>
      <c r="T18" s="277"/>
      <c r="U18" s="277"/>
      <c r="V18" s="277"/>
      <c r="W18" s="277"/>
      <c r="X18" s="277"/>
      <c r="Y18" s="277"/>
      <c r="AA18" s="568"/>
      <c r="AB18" s="568"/>
      <c r="AC18" s="568"/>
      <c r="AD18" s="615"/>
    </row>
    <row r="19" spans="1:30" x14ac:dyDescent="0.2">
      <c r="A19" s="149" t="s">
        <v>205</v>
      </c>
      <c r="C19" s="87"/>
      <c r="D19" s="566"/>
      <c r="E19" s="566">
        <v>4378285</v>
      </c>
      <c r="F19" s="566">
        <v>5341758</v>
      </c>
      <c r="G19" s="566">
        <v>12632031</v>
      </c>
      <c r="H19" s="566">
        <v>199498</v>
      </c>
      <c r="I19" s="566">
        <v>14469702</v>
      </c>
      <c r="J19" s="566">
        <v>2031740</v>
      </c>
      <c r="K19" s="566">
        <v>4582821</v>
      </c>
      <c r="L19" s="566">
        <v>30000</v>
      </c>
      <c r="M19" s="566">
        <v>2641323</v>
      </c>
      <c r="N19" s="566">
        <v>1147945</v>
      </c>
      <c r="O19" s="566">
        <v>154588</v>
      </c>
      <c r="P19" s="566">
        <v>7422258</v>
      </c>
      <c r="Q19" s="566">
        <v>0</v>
      </c>
      <c r="R19" s="566">
        <v>0</v>
      </c>
      <c r="S19" s="1128">
        <f>276774900+12908692</f>
        <v>289683592</v>
      </c>
      <c r="T19" s="566">
        <v>15308502</v>
      </c>
      <c r="U19" s="566">
        <v>264629667</v>
      </c>
      <c r="V19" s="566">
        <v>15775539</v>
      </c>
      <c r="W19" s="566">
        <v>0</v>
      </c>
      <c r="X19" s="566">
        <v>38078000</v>
      </c>
      <c r="Y19" s="566">
        <v>3347006</v>
      </c>
      <c r="AA19" s="568">
        <f>SUM(E19:Y19)</f>
        <v>681854255</v>
      </c>
      <c r="AB19" s="568"/>
      <c r="AC19" s="568">
        <v>668945563</v>
      </c>
      <c r="AD19" s="615">
        <f t="shared" si="2"/>
        <v>12908692</v>
      </c>
    </row>
    <row r="20" spans="1:30" x14ac:dyDescent="0.2">
      <c r="A20" s="149" t="s">
        <v>249</v>
      </c>
      <c r="C20" s="87"/>
      <c r="D20" s="566"/>
      <c r="E20" s="566">
        <v>0</v>
      </c>
      <c r="F20" s="566">
        <v>0</v>
      </c>
      <c r="G20" s="566">
        <v>0</v>
      </c>
      <c r="H20" s="566">
        <v>0</v>
      </c>
      <c r="I20" s="566">
        <v>0</v>
      </c>
      <c r="J20" s="566">
        <v>0</v>
      </c>
      <c r="K20" s="566">
        <v>0</v>
      </c>
      <c r="L20" s="566">
        <v>0</v>
      </c>
      <c r="M20" s="566">
        <v>0</v>
      </c>
      <c r="N20" s="566">
        <v>0</v>
      </c>
      <c r="O20" s="566">
        <v>0</v>
      </c>
      <c r="P20" s="566">
        <v>0</v>
      </c>
      <c r="Q20" s="566">
        <v>0</v>
      </c>
      <c r="R20" s="566">
        <v>0</v>
      </c>
      <c r="S20" s="566">
        <v>0</v>
      </c>
      <c r="T20" s="566">
        <v>0</v>
      </c>
      <c r="U20" s="566">
        <v>0</v>
      </c>
      <c r="V20" s="566">
        <v>0</v>
      </c>
      <c r="W20" s="566">
        <v>0</v>
      </c>
      <c r="X20" s="566">
        <v>0</v>
      </c>
      <c r="Y20" s="566">
        <v>0</v>
      </c>
      <c r="AA20" s="568">
        <f>SUM(E20:Y20)</f>
        <v>0</v>
      </c>
      <c r="AB20" s="568"/>
      <c r="AC20" s="568">
        <v>0</v>
      </c>
      <c r="AD20" s="615">
        <f t="shared" si="2"/>
        <v>0</v>
      </c>
    </row>
    <row r="21" spans="1:30" x14ac:dyDescent="0.2">
      <c r="A21" s="149" t="s">
        <v>250</v>
      </c>
      <c r="C21" s="87"/>
      <c r="D21" s="566"/>
      <c r="E21" s="566">
        <v>0</v>
      </c>
      <c r="F21" s="566">
        <v>0</v>
      </c>
      <c r="G21" s="566">
        <v>0</v>
      </c>
      <c r="H21" s="566">
        <v>0</v>
      </c>
      <c r="I21" s="566">
        <v>0</v>
      </c>
      <c r="J21" s="566">
        <v>0</v>
      </c>
      <c r="K21" s="566">
        <v>0</v>
      </c>
      <c r="L21" s="566">
        <v>0</v>
      </c>
      <c r="M21" s="566">
        <v>0</v>
      </c>
      <c r="N21" s="566">
        <v>0</v>
      </c>
      <c r="O21" s="566">
        <v>0</v>
      </c>
      <c r="P21" s="566">
        <v>0</v>
      </c>
      <c r="Q21" s="566">
        <v>0</v>
      </c>
      <c r="R21" s="566">
        <v>0</v>
      </c>
      <c r="S21" s="566">
        <v>0</v>
      </c>
      <c r="T21" s="566">
        <v>0</v>
      </c>
      <c r="U21" s="566">
        <v>0</v>
      </c>
      <c r="V21" s="566">
        <v>0</v>
      </c>
      <c r="W21" s="566">
        <v>0</v>
      </c>
      <c r="X21" s="566">
        <v>0</v>
      </c>
      <c r="Y21" s="566">
        <v>0</v>
      </c>
      <c r="AA21" s="568">
        <f>SUM(E21:Y21)</f>
        <v>0</v>
      </c>
      <c r="AB21" s="568"/>
      <c r="AC21" s="568">
        <v>0</v>
      </c>
      <c r="AD21" s="615">
        <f t="shared" si="2"/>
        <v>0</v>
      </c>
    </row>
    <row r="22" spans="1:30" x14ac:dyDescent="0.2">
      <c r="A22" s="149" t="s">
        <v>251</v>
      </c>
      <c r="C22" s="87"/>
      <c r="D22" s="277"/>
      <c r="E22" s="277"/>
      <c r="F22" s="277"/>
      <c r="G22" s="277"/>
      <c r="H22" s="277"/>
      <c r="I22" s="277"/>
      <c r="J22" s="277"/>
      <c r="K22" s="277"/>
      <c r="L22" s="277"/>
      <c r="M22" s="277"/>
      <c r="N22" s="277"/>
      <c r="O22" s="277"/>
      <c r="P22" s="277"/>
      <c r="Q22" s="277"/>
      <c r="R22" s="277"/>
      <c r="S22" s="277"/>
      <c r="T22" s="277"/>
      <c r="U22" s="277"/>
      <c r="V22" s="277"/>
      <c r="W22" s="277"/>
      <c r="X22" s="277"/>
      <c r="Y22" s="277"/>
      <c r="AA22" s="568"/>
      <c r="AB22" s="568"/>
      <c r="AC22" s="568"/>
      <c r="AD22" s="615"/>
    </row>
    <row r="23" spans="1:30" x14ac:dyDescent="0.2">
      <c r="A23" s="623"/>
      <c r="C23" s="87"/>
      <c r="D23" s="566"/>
      <c r="E23" s="566">
        <v>0</v>
      </c>
      <c r="F23" s="566">
        <v>0</v>
      </c>
      <c r="G23" s="566">
        <v>0</v>
      </c>
      <c r="H23" s="566">
        <v>0</v>
      </c>
      <c r="I23" s="566">
        <v>0</v>
      </c>
      <c r="J23" s="566">
        <v>0</v>
      </c>
      <c r="K23" s="566">
        <v>1133843</v>
      </c>
      <c r="L23" s="566">
        <v>0</v>
      </c>
      <c r="M23" s="566">
        <v>0</v>
      </c>
      <c r="N23" s="566">
        <v>0</v>
      </c>
      <c r="O23" s="566">
        <v>0</v>
      </c>
      <c r="P23" s="566">
        <v>0</v>
      </c>
      <c r="Q23" s="566">
        <v>0</v>
      </c>
      <c r="R23" s="566">
        <v>0</v>
      </c>
      <c r="S23" s="566">
        <v>0</v>
      </c>
      <c r="T23" s="566">
        <v>0</v>
      </c>
      <c r="U23" s="566">
        <v>0</v>
      </c>
      <c r="V23" s="566">
        <v>0</v>
      </c>
      <c r="W23" s="566">
        <v>0</v>
      </c>
      <c r="X23" s="566">
        <v>2000000</v>
      </c>
      <c r="Y23" s="566">
        <v>0</v>
      </c>
      <c r="AA23" s="568">
        <f>SUM(E23:Y23)</f>
        <v>3133843</v>
      </c>
      <c r="AB23" s="568"/>
      <c r="AC23" s="568">
        <v>3133843</v>
      </c>
      <c r="AD23" s="615">
        <f>AA23-AC23</f>
        <v>0</v>
      </c>
    </row>
    <row r="24" spans="1:30" x14ac:dyDescent="0.2">
      <c r="A24" s="94" t="s">
        <v>1526</v>
      </c>
      <c r="E24" s="86"/>
      <c r="F24" s="86"/>
      <c r="G24" s="86"/>
      <c r="H24" s="86"/>
      <c r="I24" s="86"/>
      <c r="J24" s="86"/>
      <c r="K24" s="86"/>
      <c r="L24" s="86"/>
      <c r="M24" s="86"/>
      <c r="N24" s="86"/>
      <c r="O24" s="86"/>
      <c r="P24" s="86"/>
      <c r="Q24" s="86"/>
      <c r="R24" s="86"/>
      <c r="S24" s="86"/>
      <c r="T24" s="86"/>
      <c r="U24" s="86"/>
      <c r="V24" s="86"/>
      <c r="W24" s="86"/>
      <c r="X24" s="86"/>
      <c r="Y24" s="86"/>
      <c r="AA24" s="568"/>
      <c r="AC24" s="568"/>
      <c r="AD24" s="615">
        <f t="shared" si="2"/>
        <v>0</v>
      </c>
    </row>
    <row r="25" spans="1:30" x14ac:dyDescent="0.2">
      <c r="A25" s="94" t="s">
        <v>191</v>
      </c>
      <c r="D25" s="1064"/>
      <c r="E25" s="1064">
        <v>6692826</v>
      </c>
      <c r="F25" s="1064">
        <v>0</v>
      </c>
      <c r="G25" s="1064">
        <v>0</v>
      </c>
      <c r="H25" s="1064">
        <v>0</v>
      </c>
      <c r="I25" s="1064">
        <v>0</v>
      </c>
      <c r="J25" s="1064">
        <v>1781226</v>
      </c>
      <c r="K25" s="1064">
        <v>303534</v>
      </c>
      <c r="L25" s="1064">
        <v>0</v>
      </c>
      <c r="M25" s="1064">
        <v>0</v>
      </c>
      <c r="N25" s="1064">
        <v>2456188</v>
      </c>
      <c r="O25" s="1064">
        <v>0</v>
      </c>
      <c r="P25" s="1064">
        <v>435150</v>
      </c>
      <c r="Q25" s="1064">
        <v>0</v>
      </c>
      <c r="R25" s="1064">
        <v>0</v>
      </c>
      <c r="S25" s="1064">
        <v>952268</v>
      </c>
      <c r="T25" s="1064">
        <v>0</v>
      </c>
      <c r="U25" s="1064">
        <v>436239</v>
      </c>
      <c r="V25" s="1064">
        <v>129272</v>
      </c>
      <c r="W25" s="1064">
        <v>0</v>
      </c>
      <c r="X25" s="1064">
        <v>4442000</v>
      </c>
      <c r="Y25" s="1064">
        <v>0</v>
      </c>
      <c r="AA25" s="568">
        <f t="shared" ref="AA25:AA33" si="3">SUM(E25:Y25)</f>
        <v>17628703</v>
      </c>
      <c r="AC25" s="568">
        <v>17628703</v>
      </c>
      <c r="AD25" s="615">
        <f>AA25-AC25</f>
        <v>0</v>
      </c>
    </row>
    <row r="26" spans="1:30" x14ac:dyDescent="0.2">
      <c r="A26" s="94" t="s">
        <v>195</v>
      </c>
      <c r="D26" s="1064"/>
      <c r="E26" s="1064">
        <v>81003036</v>
      </c>
      <c r="F26" s="1064">
        <v>27984573</v>
      </c>
      <c r="G26" s="1064">
        <v>57263338</v>
      </c>
      <c r="H26" s="1064">
        <v>0</v>
      </c>
      <c r="I26" s="1064">
        <v>11459265</v>
      </c>
      <c r="J26" s="1064">
        <v>2973386</v>
      </c>
      <c r="K26" s="1064">
        <v>5167469</v>
      </c>
      <c r="L26" s="1064">
        <v>0</v>
      </c>
      <c r="M26" s="1064">
        <v>0</v>
      </c>
      <c r="N26" s="1064">
        <v>119023679</v>
      </c>
      <c r="O26" s="1064">
        <v>0</v>
      </c>
      <c r="P26" s="1064">
        <v>35655434</v>
      </c>
      <c r="Q26" s="1064">
        <v>0</v>
      </c>
      <c r="R26" s="1064">
        <v>0</v>
      </c>
      <c r="S26" s="1130">
        <f>201573341-8501787</f>
        <v>193071554</v>
      </c>
      <c r="T26" s="1064">
        <v>123123386</v>
      </c>
      <c r="U26" s="1064">
        <v>69398679</v>
      </c>
      <c r="V26" s="1064">
        <v>52457567</v>
      </c>
      <c r="W26" s="1064">
        <v>263342</v>
      </c>
      <c r="X26" s="1064">
        <v>265860000</v>
      </c>
      <c r="Y26" s="1064">
        <v>0</v>
      </c>
      <c r="AA26" s="568">
        <f t="shared" si="3"/>
        <v>1044704708</v>
      </c>
      <c r="AC26" s="568">
        <v>1053206495</v>
      </c>
      <c r="AD26" s="615">
        <f>AA26-AC26</f>
        <v>-8501787</v>
      </c>
    </row>
    <row r="27" spans="1:30" x14ac:dyDescent="0.2">
      <c r="A27" s="94" t="s">
        <v>718</v>
      </c>
      <c r="D27" s="1064"/>
      <c r="E27" s="1064">
        <v>0</v>
      </c>
      <c r="F27" s="1064">
        <v>574710</v>
      </c>
      <c r="G27" s="1064">
        <v>4280877</v>
      </c>
      <c r="H27" s="1064">
        <v>0</v>
      </c>
      <c r="I27" s="1064">
        <v>246124</v>
      </c>
      <c r="J27" s="1064">
        <v>638505</v>
      </c>
      <c r="K27" s="1064">
        <v>2012730</v>
      </c>
      <c r="L27" s="1064">
        <v>0</v>
      </c>
      <c r="M27" s="1064">
        <v>594934</v>
      </c>
      <c r="N27" s="1064">
        <v>178671</v>
      </c>
      <c r="O27" s="1064">
        <v>0</v>
      </c>
      <c r="P27" s="1064">
        <v>264390</v>
      </c>
      <c r="Q27" s="1064">
        <v>0</v>
      </c>
      <c r="R27" s="1064">
        <v>0</v>
      </c>
      <c r="S27" s="1064">
        <v>5157448</v>
      </c>
      <c r="T27" s="1064">
        <v>0</v>
      </c>
      <c r="U27" s="1064">
        <v>1863196</v>
      </c>
      <c r="V27" s="1064">
        <v>1284869</v>
      </c>
      <c r="W27" s="1064">
        <v>317018</v>
      </c>
      <c r="X27" s="1064">
        <v>2145000</v>
      </c>
      <c r="Y27" s="1064">
        <v>0</v>
      </c>
      <c r="AA27" s="568">
        <f t="shared" si="3"/>
        <v>19558472</v>
      </c>
      <c r="AC27" s="568">
        <v>19558472</v>
      </c>
      <c r="AD27" s="615">
        <f>AA27-AC27</f>
        <v>0</v>
      </c>
    </row>
    <row r="28" spans="1:30" x14ac:dyDescent="0.2">
      <c r="A28" s="94" t="s">
        <v>1545</v>
      </c>
      <c r="D28" s="1064"/>
      <c r="E28" s="1064">
        <v>0</v>
      </c>
      <c r="F28" s="1064">
        <v>0</v>
      </c>
      <c r="G28" s="1064">
        <v>0</v>
      </c>
      <c r="H28" s="1064">
        <v>0</v>
      </c>
      <c r="I28" s="1064">
        <v>0</v>
      </c>
      <c r="J28" s="1064">
        <v>0</v>
      </c>
      <c r="K28" s="1064">
        <v>0</v>
      </c>
      <c r="L28" s="1064">
        <v>0</v>
      </c>
      <c r="M28" s="1064">
        <v>0</v>
      </c>
      <c r="N28" s="1064">
        <v>0</v>
      </c>
      <c r="O28" s="1064">
        <v>0</v>
      </c>
      <c r="P28" s="1064">
        <v>0</v>
      </c>
      <c r="Q28" s="1064">
        <v>0</v>
      </c>
      <c r="R28" s="1064">
        <v>0</v>
      </c>
      <c r="S28" s="1064">
        <v>0</v>
      </c>
      <c r="T28" s="1064">
        <v>0</v>
      </c>
      <c r="U28" s="1064">
        <v>0</v>
      </c>
      <c r="V28" s="1064">
        <v>0</v>
      </c>
      <c r="W28" s="1064">
        <v>0</v>
      </c>
      <c r="X28" s="1064">
        <v>181000</v>
      </c>
      <c r="Y28" s="1064">
        <v>0</v>
      </c>
      <c r="AA28" s="568">
        <f t="shared" si="3"/>
        <v>181000</v>
      </c>
      <c r="AC28" s="568">
        <v>181000</v>
      </c>
      <c r="AD28" s="615">
        <f t="shared" si="2"/>
        <v>0</v>
      </c>
    </row>
    <row r="29" spans="1:30" x14ac:dyDescent="0.2">
      <c r="A29" s="94" t="s">
        <v>1440</v>
      </c>
      <c r="D29" s="1064"/>
      <c r="E29" s="1064">
        <v>0</v>
      </c>
      <c r="F29" s="1064">
        <v>0</v>
      </c>
      <c r="G29" s="1064">
        <v>0</v>
      </c>
      <c r="H29" s="1064">
        <v>0</v>
      </c>
      <c r="I29" s="1064">
        <v>0</v>
      </c>
      <c r="J29" s="1064">
        <v>0</v>
      </c>
      <c r="K29" s="1064">
        <v>0</v>
      </c>
      <c r="L29" s="1064">
        <v>0</v>
      </c>
      <c r="M29" s="1064">
        <v>0</v>
      </c>
      <c r="N29" s="1064">
        <v>0</v>
      </c>
      <c r="O29" s="1064">
        <v>0</v>
      </c>
      <c r="P29" s="1064">
        <v>0</v>
      </c>
      <c r="Q29" s="1064">
        <v>0</v>
      </c>
      <c r="R29" s="1064">
        <v>0</v>
      </c>
      <c r="S29" s="1064">
        <v>0</v>
      </c>
      <c r="T29" s="1064">
        <v>0</v>
      </c>
      <c r="U29" s="1064">
        <v>0</v>
      </c>
      <c r="V29" s="1064">
        <v>0</v>
      </c>
      <c r="W29" s="1064">
        <v>0</v>
      </c>
      <c r="X29" s="1064">
        <v>0</v>
      </c>
      <c r="Y29" s="1064">
        <v>0</v>
      </c>
      <c r="AA29" s="568">
        <f t="shared" si="3"/>
        <v>0</v>
      </c>
      <c r="AC29" s="568">
        <v>0</v>
      </c>
      <c r="AD29" s="615">
        <f t="shared" si="2"/>
        <v>0</v>
      </c>
    </row>
    <row r="30" spans="1:30" x14ac:dyDescent="0.2">
      <c r="A30" s="623"/>
      <c r="D30" s="102"/>
      <c r="E30" s="102"/>
      <c r="F30" s="102"/>
      <c r="G30" s="102"/>
      <c r="H30" s="102"/>
      <c r="I30" s="102"/>
      <c r="J30" s="102"/>
      <c r="K30" s="102"/>
      <c r="L30" s="102"/>
      <c r="M30" s="102"/>
      <c r="N30" s="102"/>
      <c r="O30" s="102"/>
      <c r="P30" s="102"/>
      <c r="Q30" s="102"/>
      <c r="R30" s="102"/>
      <c r="S30" s="102"/>
      <c r="T30" s="102"/>
      <c r="U30" s="102"/>
      <c r="V30" s="102"/>
      <c r="W30" s="102"/>
      <c r="X30" s="102"/>
      <c r="Y30" s="102"/>
      <c r="AA30" s="568"/>
      <c r="AC30" s="568"/>
      <c r="AD30" s="615">
        <f t="shared" si="2"/>
        <v>0</v>
      </c>
    </row>
    <row r="31" spans="1:30" ht="22.5" x14ac:dyDescent="0.2">
      <c r="A31" s="847" t="s">
        <v>1723</v>
      </c>
      <c r="D31" s="1064"/>
      <c r="E31" s="1064">
        <v>0</v>
      </c>
      <c r="F31" s="1064">
        <v>0</v>
      </c>
      <c r="G31" s="1064">
        <v>0</v>
      </c>
      <c r="H31" s="1064">
        <v>0</v>
      </c>
      <c r="I31" s="1064">
        <v>0</v>
      </c>
      <c r="J31" s="1064">
        <v>0</v>
      </c>
      <c r="K31" s="1064">
        <v>0</v>
      </c>
      <c r="L31" s="1064">
        <v>0</v>
      </c>
      <c r="M31" s="1064">
        <v>0</v>
      </c>
      <c r="N31" s="1064">
        <v>0</v>
      </c>
      <c r="O31" s="1064">
        <v>0</v>
      </c>
      <c r="P31" s="1064">
        <v>0</v>
      </c>
      <c r="Q31" s="1064">
        <v>0</v>
      </c>
      <c r="R31" s="1064">
        <v>0</v>
      </c>
      <c r="S31" s="1064">
        <v>0</v>
      </c>
      <c r="T31" s="1064">
        <v>0</v>
      </c>
      <c r="U31" s="1064">
        <v>0</v>
      </c>
      <c r="V31" s="1064">
        <v>0</v>
      </c>
      <c r="W31" s="1064">
        <v>0</v>
      </c>
      <c r="X31" s="1064">
        <v>0</v>
      </c>
      <c r="Y31" s="1064">
        <v>0</v>
      </c>
      <c r="AA31" s="568">
        <f t="shared" ref="AA31" si="4">SUM(E31:Y31)</f>
        <v>0</v>
      </c>
      <c r="AC31" s="568">
        <v>0</v>
      </c>
      <c r="AD31" s="615">
        <f t="shared" ref="AD31" si="5">AA31-AC31</f>
        <v>0</v>
      </c>
    </row>
    <row r="32" spans="1:30" ht="22.5" x14ac:dyDescent="0.2">
      <c r="A32" s="847" t="s">
        <v>1547</v>
      </c>
      <c r="D32" s="1064"/>
      <c r="E32" s="1064">
        <v>6875625</v>
      </c>
      <c r="F32" s="1064">
        <v>10624528</v>
      </c>
      <c r="G32" s="1064">
        <v>40339731</v>
      </c>
      <c r="H32" s="1064">
        <v>0</v>
      </c>
      <c r="I32" s="1064">
        <v>10915083</v>
      </c>
      <c r="J32" s="1064">
        <v>5027194</v>
      </c>
      <c r="K32" s="1064">
        <v>7853621</v>
      </c>
      <c r="L32" s="1064">
        <v>0</v>
      </c>
      <c r="M32" s="1064">
        <v>1754901</v>
      </c>
      <c r="N32" s="1130">
        <f>6127220+17185367</f>
        <v>23312587</v>
      </c>
      <c r="O32" s="1064">
        <v>0</v>
      </c>
      <c r="P32" s="1064">
        <v>5489993</v>
      </c>
      <c r="Q32" s="1064">
        <v>0</v>
      </c>
      <c r="R32" s="1064">
        <v>0</v>
      </c>
      <c r="S32" s="1064">
        <v>130214590</v>
      </c>
      <c r="T32" s="1064">
        <v>28816755</v>
      </c>
      <c r="U32" s="1064">
        <v>56678537</v>
      </c>
      <c r="V32" s="1064">
        <v>1914310</v>
      </c>
      <c r="W32" s="1064">
        <v>3555043</v>
      </c>
      <c r="X32" s="1130">
        <f>23145000+5769000</f>
        <v>28914000</v>
      </c>
      <c r="Y32" s="1064">
        <v>0</v>
      </c>
      <c r="AA32" s="568">
        <f t="shared" si="3"/>
        <v>362286498</v>
      </c>
      <c r="AC32" s="568">
        <v>362286498</v>
      </c>
      <c r="AD32" s="615">
        <f t="shared" si="2"/>
        <v>0</v>
      </c>
    </row>
    <row r="33" spans="1:30" x14ac:dyDescent="0.2">
      <c r="A33" s="1068" t="s">
        <v>1522</v>
      </c>
      <c r="D33" s="1071">
        <f>SUM(D12:D32)</f>
        <v>0</v>
      </c>
      <c r="E33" s="1071">
        <f t="shared" ref="E33:Y33" si="6">SUM(E12:E32)</f>
        <v>856965126</v>
      </c>
      <c r="F33" s="1071">
        <f t="shared" si="6"/>
        <v>1449147304</v>
      </c>
      <c r="G33" s="1071">
        <f>SUM(G12:G32)</f>
        <v>2259404672</v>
      </c>
      <c r="H33" s="1071">
        <f t="shared" si="6"/>
        <v>49315778</v>
      </c>
      <c r="I33" s="1071">
        <f t="shared" si="6"/>
        <v>1946808871</v>
      </c>
      <c r="J33" s="1071">
        <f t="shared" si="6"/>
        <v>464651363</v>
      </c>
      <c r="K33" s="1071">
        <f t="shared" si="6"/>
        <v>661894215</v>
      </c>
      <c r="L33" s="1071">
        <f t="shared" si="6"/>
        <v>10979274</v>
      </c>
      <c r="M33" s="1071">
        <f t="shared" si="6"/>
        <v>541865116</v>
      </c>
      <c r="N33" s="1071">
        <f>SUM(N12:N32)</f>
        <v>1296157315</v>
      </c>
      <c r="O33" s="1071">
        <f t="shared" si="6"/>
        <v>46559407</v>
      </c>
      <c r="P33" s="1071">
        <f t="shared" si="6"/>
        <v>674251491</v>
      </c>
      <c r="Q33" s="1071">
        <f t="shared" si="6"/>
        <v>4174336</v>
      </c>
      <c r="R33" s="1071">
        <f t="shared" si="6"/>
        <v>20104149</v>
      </c>
      <c r="S33" s="1071">
        <f t="shared" si="6"/>
        <v>8668074276</v>
      </c>
      <c r="T33" s="1071">
        <f t="shared" si="6"/>
        <v>2357595357</v>
      </c>
      <c r="U33" s="1071">
        <f t="shared" si="6"/>
        <v>3197079889</v>
      </c>
      <c r="V33" s="1071">
        <f t="shared" si="6"/>
        <v>2246443443</v>
      </c>
      <c r="W33" s="1071">
        <f t="shared" si="6"/>
        <v>627358664</v>
      </c>
      <c r="X33" s="1071">
        <f t="shared" si="6"/>
        <v>3919896000</v>
      </c>
      <c r="Y33" s="1071">
        <f t="shared" si="6"/>
        <v>488852823</v>
      </c>
      <c r="AA33" s="1072">
        <f t="shared" si="3"/>
        <v>31787578869</v>
      </c>
      <c r="AB33" s="1073"/>
      <c r="AC33" s="1072">
        <f>SUM(AC12:AC32)</f>
        <v>31795916672</v>
      </c>
      <c r="AD33" s="616">
        <f>AA33-AC33</f>
        <v>-8337803</v>
      </c>
    </row>
    <row r="34" spans="1:30" x14ac:dyDescent="0.2">
      <c r="A34" s="847"/>
      <c r="D34" s="102"/>
      <c r="E34" s="102"/>
      <c r="F34" s="102"/>
      <c r="G34" s="102"/>
      <c r="H34" s="102"/>
      <c r="I34" s="102"/>
      <c r="J34" s="102"/>
      <c r="K34" s="102"/>
      <c r="L34" s="102"/>
      <c r="M34" s="102"/>
      <c r="N34" s="102"/>
      <c r="O34" s="102"/>
      <c r="P34" s="102"/>
      <c r="Q34" s="102"/>
      <c r="R34" s="102"/>
      <c r="S34" s="102"/>
      <c r="T34" s="102"/>
      <c r="U34" s="102"/>
      <c r="V34" s="102"/>
      <c r="W34" s="102"/>
      <c r="X34" s="102"/>
      <c r="Y34" s="102"/>
    </row>
    <row r="35" spans="1:30" x14ac:dyDescent="0.2">
      <c r="A35" s="95" t="s">
        <v>246</v>
      </c>
      <c r="E35" s="86"/>
      <c r="F35" s="86"/>
      <c r="G35" s="86"/>
      <c r="H35" s="86"/>
      <c r="I35" s="86"/>
      <c r="J35" s="86"/>
      <c r="K35" s="86"/>
      <c r="L35" s="86"/>
      <c r="M35" s="86"/>
      <c r="N35" s="86"/>
      <c r="O35" s="86"/>
      <c r="P35" s="86"/>
      <c r="Q35" s="86"/>
      <c r="R35" s="86"/>
      <c r="S35" s="86"/>
      <c r="T35" s="86"/>
      <c r="U35" s="86"/>
      <c r="V35" s="86"/>
      <c r="W35" s="86"/>
      <c r="X35" s="86"/>
      <c r="Y35" s="86"/>
    </row>
    <row r="36" spans="1:30" x14ac:dyDescent="0.2">
      <c r="A36" s="85" t="s">
        <v>195</v>
      </c>
      <c r="D36" s="567"/>
      <c r="E36" s="567">
        <v>177822278</v>
      </c>
      <c r="F36" s="567">
        <v>429448685</v>
      </c>
      <c r="G36" s="567">
        <v>724071365</v>
      </c>
      <c r="H36" s="567">
        <v>2860092</v>
      </c>
      <c r="I36" s="567">
        <v>453223217</v>
      </c>
      <c r="J36" s="567">
        <v>121602305</v>
      </c>
      <c r="K36" s="567">
        <v>143279801</v>
      </c>
      <c r="L36" s="567">
        <v>513494</v>
      </c>
      <c r="M36" s="567">
        <v>220513502</v>
      </c>
      <c r="N36" s="567">
        <v>341811553</v>
      </c>
      <c r="O36" s="567">
        <v>16158842</v>
      </c>
      <c r="P36" s="567">
        <v>222358755</v>
      </c>
      <c r="Q36" s="567">
        <v>0</v>
      </c>
      <c r="R36" s="567">
        <v>7617057</v>
      </c>
      <c r="S36" s="1129">
        <f>2282707454+9149684</f>
        <v>2291857138</v>
      </c>
      <c r="T36" s="567">
        <v>704531194</v>
      </c>
      <c r="U36" s="567">
        <v>732991992</v>
      </c>
      <c r="V36" s="567">
        <v>581290142</v>
      </c>
      <c r="W36" s="567">
        <v>152634352</v>
      </c>
      <c r="X36" s="1129">
        <f>857141000-129000</f>
        <v>857012000</v>
      </c>
      <c r="Y36" s="567">
        <v>168479065</v>
      </c>
      <c r="AA36" s="568">
        <f t="shared" ref="AA36:AA41" si="7">SUM(E36:Y36)</f>
        <v>8350076829</v>
      </c>
      <c r="AB36" s="568"/>
      <c r="AC36" s="568">
        <v>8340927145</v>
      </c>
      <c r="AD36" s="615">
        <f t="shared" ref="AD36:AD47" si="8">AA36-AC36</f>
        <v>9149684</v>
      </c>
    </row>
    <row r="37" spans="1:30" x14ac:dyDescent="0.2">
      <c r="A37" s="85" t="s">
        <v>718</v>
      </c>
      <c r="D37" s="567"/>
      <c r="E37" s="567">
        <v>19975771</v>
      </c>
      <c r="F37" s="567">
        <v>72335442</v>
      </c>
      <c r="G37" s="567">
        <v>102991163</v>
      </c>
      <c r="H37" s="567">
        <v>13282263</v>
      </c>
      <c r="I37" s="567">
        <v>74783272</v>
      </c>
      <c r="J37" s="567">
        <v>18073530</v>
      </c>
      <c r="K37" s="567">
        <v>20721371</v>
      </c>
      <c r="L37" s="567">
        <v>1903571</v>
      </c>
      <c r="M37" s="567">
        <v>37001389</v>
      </c>
      <c r="N37" s="567">
        <v>84779302</v>
      </c>
      <c r="O37" s="567">
        <v>2572901</v>
      </c>
      <c r="P37" s="567">
        <v>34836854</v>
      </c>
      <c r="Q37" s="567">
        <v>2920087</v>
      </c>
      <c r="R37" s="567">
        <v>606338</v>
      </c>
      <c r="S37" s="1129">
        <f>949167983-10280806</f>
        <v>938887177</v>
      </c>
      <c r="T37" s="567">
        <v>200695144</v>
      </c>
      <c r="U37" s="567">
        <v>581572158</v>
      </c>
      <c r="V37" s="567">
        <v>184196350</v>
      </c>
      <c r="W37" s="567">
        <v>16496688</v>
      </c>
      <c r="X37" s="1129">
        <f>632907000+205000</f>
        <v>633112000</v>
      </c>
      <c r="Y37" s="567">
        <v>27575492</v>
      </c>
      <c r="AA37" s="568">
        <f t="shared" si="7"/>
        <v>3069318263</v>
      </c>
      <c r="AB37" s="568"/>
      <c r="AC37" s="568">
        <v>3079599069</v>
      </c>
      <c r="AD37" s="615">
        <f t="shared" si="8"/>
        <v>-10280806</v>
      </c>
    </row>
    <row r="38" spans="1:30" x14ac:dyDescent="0.2">
      <c r="A38" s="85" t="s">
        <v>237</v>
      </c>
      <c r="D38" s="567"/>
      <c r="E38" s="567">
        <v>12974414</v>
      </c>
      <c r="F38" s="567">
        <v>49636098</v>
      </c>
      <c r="G38" s="567">
        <v>38234851</v>
      </c>
      <c r="H38" s="567">
        <v>0</v>
      </c>
      <c r="I38" s="567">
        <v>68604540</v>
      </c>
      <c r="J38" s="567">
        <v>38073019</v>
      </c>
      <c r="K38" s="567">
        <v>34056940</v>
      </c>
      <c r="L38" s="567">
        <v>0</v>
      </c>
      <c r="M38" s="567">
        <v>4799092</v>
      </c>
      <c r="N38" s="567">
        <v>2936884</v>
      </c>
      <c r="O38" s="567">
        <v>0</v>
      </c>
      <c r="P38" s="567">
        <v>22326500</v>
      </c>
      <c r="Q38" s="567">
        <v>0</v>
      </c>
      <c r="R38" s="567">
        <v>0</v>
      </c>
      <c r="S38" s="567">
        <v>325665073</v>
      </c>
      <c r="T38" s="567">
        <v>0</v>
      </c>
      <c r="U38" s="567">
        <v>0</v>
      </c>
      <c r="V38" s="567">
        <v>54680170</v>
      </c>
      <c r="W38" s="567">
        <v>0</v>
      </c>
      <c r="X38" s="567">
        <v>112991000</v>
      </c>
      <c r="Y38" s="567">
        <v>19409521</v>
      </c>
      <c r="AA38" s="568">
        <f t="shared" si="7"/>
        <v>784388102</v>
      </c>
      <c r="AB38" s="568"/>
      <c r="AC38" s="568">
        <v>784388102</v>
      </c>
      <c r="AD38" s="615">
        <f t="shared" si="8"/>
        <v>0</v>
      </c>
    </row>
    <row r="39" spans="1:30" x14ac:dyDescent="0.2">
      <c r="A39" s="85" t="s">
        <v>656</v>
      </c>
      <c r="D39" s="567"/>
      <c r="E39" s="567">
        <v>24246399</v>
      </c>
      <c r="F39" s="567">
        <v>11386357</v>
      </c>
      <c r="G39" s="567">
        <v>33633344</v>
      </c>
      <c r="H39" s="567">
        <v>3516876</v>
      </c>
      <c r="I39" s="567">
        <v>35830366</v>
      </c>
      <c r="J39" s="567">
        <v>0</v>
      </c>
      <c r="K39" s="567">
        <v>7063559</v>
      </c>
      <c r="L39" s="567">
        <v>0</v>
      </c>
      <c r="M39" s="567">
        <v>7803561</v>
      </c>
      <c r="N39" s="567">
        <v>12636931</v>
      </c>
      <c r="O39" s="567">
        <v>2703298</v>
      </c>
      <c r="P39" s="567">
        <v>11413795</v>
      </c>
      <c r="Q39" s="567">
        <v>0</v>
      </c>
      <c r="R39" s="567">
        <v>0</v>
      </c>
      <c r="S39" s="1129">
        <f>169415758+999123</f>
        <v>170414881</v>
      </c>
      <c r="T39" s="567">
        <v>21127595</v>
      </c>
      <c r="U39" s="567">
        <v>5694724</v>
      </c>
      <c r="V39" s="567">
        <v>77686752</v>
      </c>
      <c r="W39" s="567">
        <v>21435343</v>
      </c>
      <c r="X39" s="567">
        <v>0</v>
      </c>
      <c r="Y39" s="567">
        <v>0</v>
      </c>
      <c r="AA39" s="568">
        <f t="shared" si="7"/>
        <v>446593781</v>
      </c>
      <c r="AB39" s="568"/>
      <c r="AC39" s="568">
        <v>445594658</v>
      </c>
      <c r="AD39" s="615">
        <f t="shared" si="8"/>
        <v>999123</v>
      </c>
    </row>
    <row r="40" spans="1:30" ht="22.5" x14ac:dyDescent="0.2">
      <c r="A40" s="847" t="s">
        <v>511</v>
      </c>
      <c r="D40" s="567"/>
      <c r="E40" s="567">
        <v>0</v>
      </c>
      <c r="F40" s="567">
        <v>0</v>
      </c>
      <c r="G40" s="567">
        <v>0</v>
      </c>
      <c r="H40" s="567">
        <v>0</v>
      </c>
      <c r="I40" s="567">
        <v>0</v>
      </c>
      <c r="J40" s="567">
        <v>0</v>
      </c>
      <c r="K40" s="567">
        <v>0</v>
      </c>
      <c r="L40" s="567">
        <v>0</v>
      </c>
      <c r="M40" s="567">
        <v>0</v>
      </c>
      <c r="N40" s="567">
        <v>0</v>
      </c>
      <c r="O40" s="567">
        <v>0</v>
      </c>
      <c r="P40" s="567">
        <v>0</v>
      </c>
      <c r="Q40" s="567">
        <v>0</v>
      </c>
      <c r="R40" s="567">
        <v>0</v>
      </c>
      <c r="S40" s="567">
        <v>0</v>
      </c>
      <c r="T40" s="567">
        <v>0</v>
      </c>
      <c r="U40" s="567">
        <v>0</v>
      </c>
      <c r="V40" s="567">
        <v>0</v>
      </c>
      <c r="W40" s="567">
        <v>0</v>
      </c>
      <c r="X40" s="567">
        <v>0</v>
      </c>
      <c r="Y40" s="567">
        <v>0</v>
      </c>
      <c r="AA40" s="568">
        <f t="shared" si="7"/>
        <v>0</v>
      </c>
      <c r="AB40" s="568"/>
      <c r="AC40" s="568">
        <v>0</v>
      </c>
      <c r="AD40" s="615">
        <f t="shared" si="8"/>
        <v>0</v>
      </c>
    </row>
    <row r="41" spans="1:30" x14ac:dyDescent="0.2">
      <c r="A41" s="85" t="s">
        <v>719</v>
      </c>
      <c r="C41" s="87"/>
      <c r="D41" s="566"/>
      <c r="E41" s="566">
        <v>14910986</v>
      </c>
      <c r="F41" s="566">
        <v>65006375</v>
      </c>
      <c r="G41" s="566">
        <v>101251995</v>
      </c>
      <c r="H41" s="566">
        <v>0</v>
      </c>
      <c r="I41" s="566">
        <v>56744224</v>
      </c>
      <c r="J41" s="566">
        <v>11653087</v>
      </c>
      <c r="K41" s="566">
        <v>11274866</v>
      </c>
      <c r="L41" s="566">
        <v>0</v>
      </c>
      <c r="M41" s="566">
        <v>5476698</v>
      </c>
      <c r="N41" s="566">
        <v>60803896</v>
      </c>
      <c r="O41" s="566">
        <v>25534</v>
      </c>
      <c r="P41" s="566">
        <v>21958867</v>
      </c>
      <c r="Q41" s="566">
        <v>0</v>
      </c>
      <c r="R41" s="566">
        <v>0</v>
      </c>
      <c r="S41" s="566">
        <v>123826597</v>
      </c>
      <c r="T41" s="566">
        <v>96568125</v>
      </c>
      <c r="U41" s="566">
        <v>0</v>
      </c>
      <c r="V41" s="566">
        <v>39924012</v>
      </c>
      <c r="W41" s="566">
        <v>9252639</v>
      </c>
      <c r="X41" s="566">
        <v>74689000</v>
      </c>
      <c r="Y41" s="566">
        <v>20283053</v>
      </c>
      <c r="AA41" s="568">
        <f t="shared" si="7"/>
        <v>713649954</v>
      </c>
      <c r="AB41" s="568"/>
      <c r="AC41" s="568">
        <v>713649954</v>
      </c>
      <c r="AD41" s="615">
        <f t="shared" si="8"/>
        <v>0</v>
      </c>
    </row>
    <row r="42" spans="1:30" x14ac:dyDescent="0.2">
      <c r="A42" s="149" t="s">
        <v>1555</v>
      </c>
      <c r="C42" s="87"/>
      <c r="D42" s="277"/>
      <c r="E42" s="277"/>
      <c r="F42" s="277"/>
      <c r="G42" s="277"/>
      <c r="H42" s="277"/>
      <c r="I42" s="277"/>
      <c r="J42" s="277"/>
      <c r="K42" s="277"/>
      <c r="L42" s="277"/>
      <c r="M42" s="277"/>
      <c r="N42" s="277"/>
      <c r="O42" s="277"/>
      <c r="P42" s="277"/>
      <c r="Q42" s="277"/>
      <c r="R42" s="277"/>
      <c r="S42" s="277"/>
      <c r="T42" s="277"/>
      <c r="U42" s="277"/>
      <c r="V42" s="277"/>
      <c r="W42" s="277"/>
      <c r="X42" s="277"/>
      <c r="Y42" s="277"/>
      <c r="AA42" s="568"/>
      <c r="AB42" s="568"/>
      <c r="AC42" s="568"/>
      <c r="AD42" s="615"/>
    </row>
    <row r="43" spans="1:30" x14ac:dyDescent="0.2">
      <c r="A43" s="149" t="s">
        <v>947</v>
      </c>
      <c r="C43" s="87"/>
      <c r="D43" s="566"/>
      <c r="E43" s="566">
        <v>3875545</v>
      </c>
      <c r="F43" s="566">
        <v>5327816</v>
      </c>
      <c r="G43" s="566">
        <v>12163702</v>
      </c>
      <c r="H43" s="566">
        <v>189849</v>
      </c>
      <c r="I43" s="566">
        <v>13211137</v>
      </c>
      <c r="J43" s="566">
        <v>1776026</v>
      </c>
      <c r="K43" s="566">
        <v>4139812</v>
      </c>
      <c r="L43" s="566">
        <v>26112</v>
      </c>
      <c r="M43" s="566">
        <v>2061280</v>
      </c>
      <c r="N43" s="566">
        <v>2694630</v>
      </c>
      <c r="O43" s="566">
        <v>154588</v>
      </c>
      <c r="P43" s="566">
        <v>7352429</v>
      </c>
      <c r="Q43" s="566">
        <v>0</v>
      </c>
      <c r="R43" s="566">
        <v>0</v>
      </c>
      <c r="S43" s="1128">
        <f>254244055+603462</f>
        <v>254847517</v>
      </c>
      <c r="T43" s="566">
        <v>14408843</v>
      </c>
      <c r="U43" s="566">
        <v>140518156</v>
      </c>
      <c r="V43" s="566">
        <v>13728410</v>
      </c>
      <c r="W43" s="566">
        <v>0</v>
      </c>
      <c r="X43" s="566">
        <v>30975000</v>
      </c>
      <c r="Y43" s="566">
        <v>3347006</v>
      </c>
      <c r="AA43" s="568">
        <f>SUM(E43:Y43)</f>
        <v>510797858</v>
      </c>
      <c r="AB43" s="568"/>
      <c r="AC43" s="568">
        <v>510194396</v>
      </c>
      <c r="AD43" s="615">
        <f t="shared" si="8"/>
        <v>603462</v>
      </c>
    </row>
    <row r="44" spans="1:30" x14ac:dyDescent="0.2">
      <c r="A44" s="149" t="s">
        <v>249</v>
      </c>
      <c r="C44" s="87"/>
      <c r="D44" s="566"/>
      <c r="E44" s="566">
        <v>0</v>
      </c>
      <c r="F44" s="566">
        <v>0</v>
      </c>
      <c r="G44" s="566">
        <v>0</v>
      </c>
      <c r="H44" s="566">
        <v>0</v>
      </c>
      <c r="I44" s="566">
        <v>0</v>
      </c>
      <c r="J44" s="566">
        <v>0</v>
      </c>
      <c r="K44" s="566">
        <v>0</v>
      </c>
      <c r="L44" s="566">
        <v>0</v>
      </c>
      <c r="M44" s="566">
        <v>0</v>
      </c>
      <c r="N44" s="566">
        <v>0</v>
      </c>
      <c r="O44" s="566">
        <v>0</v>
      </c>
      <c r="P44" s="566">
        <v>0</v>
      </c>
      <c r="Q44" s="566">
        <v>0</v>
      </c>
      <c r="R44" s="566">
        <v>0</v>
      </c>
      <c r="S44" s="566">
        <v>0</v>
      </c>
      <c r="T44" s="566">
        <v>0</v>
      </c>
      <c r="U44" s="566">
        <v>0</v>
      </c>
      <c r="V44" s="566">
        <v>0</v>
      </c>
      <c r="W44" s="566">
        <v>0</v>
      </c>
      <c r="X44" s="566">
        <v>0</v>
      </c>
      <c r="Y44" s="566">
        <v>0</v>
      </c>
      <c r="AA44" s="568">
        <f>SUM(E44:Y44)</f>
        <v>0</v>
      </c>
      <c r="AB44" s="568"/>
      <c r="AC44" s="568">
        <f>SUM(G44:AA44)</f>
        <v>0</v>
      </c>
      <c r="AD44" s="615">
        <f t="shared" si="8"/>
        <v>0</v>
      </c>
    </row>
    <row r="45" spans="1:30" x14ac:dyDescent="0.2">
      <c r="A45" s="149" t="s">
        <v>250</v>
      </c>
      <c r="C45" s="87"/>
      <c r="D45" s="566"/>
      <c r="E45" s="566">
        <v>0</v>
      </c>
      <c r="F45" s="566">
        <v>0</v>
      </c>
      <c r="G45" s="566">
        <v>0</v>
      </c>
      <c r="H45" s="566">
        <v>0</v>
      </c>
      <c r="I45" s="566">
        <v>0</v>
      </c>
      <c r="J45" s="566">
        <v>0</v>
      </c>
      <c r="K45" s="566">
        <v>0</v>
      </c>
      <c r="L45" s="566">
        <v>0</v>
      </c>
      <c r="M45" s="566">
        <v>0</v>
      </c>
      <c r="N45" s="566">
        <v>0</v>
      </c>
      <c r="O45" s="566">
        <v>0</v>
      </c>
      <c r="P45" s="566">
        <v>0</v>
      </c>
      <c r="Q45" s="566">
        <v>0</v>
      </c>
      <c r="R45" s="566">
        <v>0</v>
      </c>
      <c r="S45" s="566">
        <v>0</v>
      </c>
      <c r="T45" s="566">
        <v>0</v>
      </c>
      <c r="U45" s="566">
        <v>0</v>
      </c>
      <c r="V45" s="566">
        <v>0</v>
      </c>
      <c r="W45" s="566">
        <v>0</v>
      </c>
      <c r="X45" s="566">
        <v>0</v>
      </c>
      <c r="Y45" s="566">
        <v>0</v>
      </c>
      <c r="AA45" s="568">
        <f>SUM(E45:Y45)</f>
        <v>0</v>
      </c>
      <c r="AB45" s="568"/>
      <c r="AC45" s="568">
        <f>SUM(G45:AA45)</f>
        <v>0</v>
      </c>
      <c r="AD45" s="615">
        <f t="shared" si="8"/>
        <v>0</v>
      </c>
    </row>
    <row r="46" spans="1:30" x14ac:dyDescent="0.2">
      <c r="A46" s="149" t="s">
        <v>251</v>
      </c>
      <c r="C46" s="87"/>
      <c r="D46" s="277"/>
      <c r="E46" s="277"/>
      <c r="F46" s="277"/>
      <c r="G46" s="277"/>
      <c r="H46" s="277"/>
      <c r="I46" s="277"/>
      <c r="J46" s="277"/>
      <c r="K46" s="277"/>
      <c r="L46" s="277"/>
      <c r="M46" s="277"/>
      <c r="N46" s="277"/>
      <c r="O46" s="277"/>
      <c r="P46" s="277"/>
      <c r="Q46" s="277"/>
      <c r="R46" s="277"/>
      <c r="S46" s="277"/>
      <c r="T46" s="277"/>
      <c r="U46" s="277"/>
      <c r="V46" s="277"/>
      <c r="W46" s="277"/>
      <c r="X46" s="277"/>
      <c r="Y46" s="277"/>
      <c r="AA46" s="568"/>
      <c r="AB46" s="568"/>
      <c r="AC46" s="568"/>
      <c r="AD46" s="615"/>
    </row>
    <row r="47" spans="1:30" x14ac:dyDescent="0.2">
      <c r="A47" s="623"/>
      <c r="C47" s="87"/>
      <c r="D47" s="566"/>
      <c r="E47" s="566">
        <v>0</v>
      </c>
      <c r="F47" s="566">
        <v>0</v>
      </c>
      <c r="G47" s="566">
        <v>0</v>
      </c>
      <c r="H47" s="566">
        <v>0</v>
      </c>
      <c r="I47" s="566">
        <v>0</v>
      </c>
      <c r="J47" s="566">
        <v>0</v>
      </c>
      <c r="K47" s="566">
        <v>283460</v>
      </c>
      <c r="L47" s="566">
        <v>0</v>
      </c>
      <c r="M47" s="566">
        <v>0</v>
      </c>
      <c r="N47" s="566">
        <v>0</v>
      </c>
      <c r="O47" s="566">
        <v>0</v>
      </c>
      <c r="P47" s="566">
        <v>0</v>
      </c>
      <c r="Q47" s="566">
        <v>0</v>
      </c>
      <c r="R47" s="566">
        <v>0</v>
      </c>
      <c r="S47" s="566">
        <v>0</v>
      </c>
      <c r="T47" s="566">
        <v>0</v>
      </c>
      <c r="U47" s="566">
        <v>0</v>
      </c>
      <c r="V47" s="566">
        <v>0</v>
      </c>
      <c r="W47" s="566">
        <v>0</v>
      </c>
      <c r="X47" s="566">
        <v>2000000</v>
      </c>
      <c r="Y47" s="566">
        <v>0</v>
      </c>
      <c r="AA47" s="568">
        <f>SUM(E47:Y47)</f>
        <v>2283460</v>
      </c>
      <c r="AB47" s="568"/>
      <c r="AC47" s="568">
        <v>2283460</v>
      </c>
      <c r="AD47" s="615">
        <f t="shared" si="8"/>
        <v>0</v>
      </c>
    </row>
    <row r="48" spans="1:30" x14ac:dyDescent="0.2">
      <c r="A48" s="85" t="s">
        <v>652</v>
      </c>
      <c r="C48" s="87"/>
      <c r="D48" s="114">
        <f>SUM(D36:D47)</f>
        <v>0</v>
      </c>
      <c r="E48" s="114">
        <f t="shared" ref="E48:Y48" si="9">SUM(E36:E47)</f>
        <v>253805393</v>
      </c>
      <c r="F48" s="114">
        <f t="shared" si="9"/>
        <v>633140773</v>
      </c>
      <c r="G48" s="114">
        <f t="shared" si="9"/>
        <v>1012346420</v>
      </c>
      <c r="H48" s="114">
        <f t="shared" si="9"/>
        <v>19849080</v>
      </c>
      <c r="I48" s="114">
        <f t="shared" si="9"/>
        <v>702396756</v>
      </c>
      <c r="J48" s="114">
        <f t="shared" si="9"/>
        <v>191177967</v>
      </c>
      <c r="K48" s="114">
        <f t="shared" si="9"/>
        <v>220819809</v>
      </c>
      <c r="L48" s="114">
        <f t="shared" si="9"/>
        <v>2443177</v>
      </c>
      <c r="M48" s="114">
        <f t="shared" si="9"/>
        <v>277655522</v>
      </c>
      <c r="N48" s="114">
        <f t="shared" si="9"/>
        <v>505663196</v>
      </c>
      <c r="O48" s="114">
        <f t="shared" si="9"/>
        <v>21615163</v>
      </c>
      <c r="P48" s="114">
        <f t="shared" si="9"/>
        <v>320247200</v>
      </c>
      <c r="Q48" s="114">
        <f t="shared" si="9"/>
        <v>2920087</v>
      </c>
      <c r="R48" s="114">
        <f t="shared" si="9"/>
        <v>8223395</v>
      </c>
      <c r="S48" s="114">
        <f t="shared" si="9"/>
        <v>4105498383</v>
      </c>
      <c r="T48" s="114">
        <f t="shared" si="9"/>
        <v>1037330901</v>
      </c>
      <c r="U48" s="114">
        <f t="shared" si="9"/>
        <v>1460777030</v>
      </c>
      <c r="V48" s="114">
        <f t="shared" si="9"/>
        <v>951505836</v>
      </c>
      <c r="W48" s="114">
        <f t="shared" si="9"/>
        <v>199819022</v>
      </c>
      <c r="X48" s="114">
        <f t="shared" si="9"/>
        <v>1710779000</v>
      </c>
      <c r="Y48" s="114">
        <f t="shared" si="9"/>
        <v>239094137</v>
      </c>
      <c r="AA48" s="114">
        <f>SUM(AA36:AA47)</f>
        <v>13877108247</v>
      </c>
      <c r="AB48" s="114"/>
      <c r="AC48" s="114">
        <f>SUM(AC36:AC47)</f>
        <v>13876636784</v>
      </c>
      <c r="AD48" s="616">
        <f>AA48-AC48</f>
        <v>471463</v>
      </c>
    </row>
    <row r="49" spans="1:30" x14ac:dyDescent="0.2">
      <c r="C49" s="87"/>
      <c r="D49" s="248"/>
      <c r="E49" s="248"/>
      <c r="F49" s="248"/>
      <c r="G49" s="248"/>
      <c r="H49" s="248"/>
      <c r="I49" s="248"/>
      <c r="J49" s="248"/>
      <c r="K49" s="248"/>
      <c r="L49" s="248"/>
      <c r="M49" s="248"/>
      <c r="N49" s="248"/>
      <c r="O49" s="248"/>
      <c r="P49" s="248"/>
      <c r="Q49" s="248"/>
      <c r="R49" s="248"/>
      <c r="S49" s="248"/>
      <c r="T49" s="248"/>
      <c r="U49" s="248"/>
      <c r="V49" s="248"/>
      <c r="W49" s="248"/>
      <c r="X49" s="248"/>
      <c r="Y49" s="248"/>
      <c r="AA49" s="248"/>
      <c r="AB49" s="248"/>
      <c r="AC49" s="248"/>
      <c r="AD49" s="615"/>
    </row>
    <row r="50" spans="1:30" x14ac:dyDescent="0.2">
      <c r="A50" s="85" t="s">
        <v>1551</v>
      </c>
      <c r="D50" s="237"/>
      <c r="E50" s="237"/>
      <c r="F50" s="237"/>
      <c r="G50" s="237"/>
      <c r="H50" s="237"/>
      <c r="I50" s="237"/>
      <c r="J50" s="237"/>
      <c r="K50" s="237"/>
      <c r="L50" s="237"/>
      <c r="M50" s="237"/>
      <c r="N50" s="237"/>
      <c r="O50" s="237"/>
      <c r="P50" s="237"/>
      <c r="Q50" s="237"/>
      <c r="R50" s="237"/>
      <c r="S50" s="237"/>
      <c r="T50" s="237"/>
      <c r="U50" s="237"/>
      <c r="V50" s="237"/>
      <c r="W50" s="237"/>
      <c r="X50" s="237"/>
      <c r="Y50" s="237"/>
      <c r="AA50" s="248"/>
    </row>
    <row r="51" spans="1:30" x14ac:dyDescent="0.2">
      <c r="A51" s="85" t="s">
        <v>1552</v>
      </c>
      <c r="D51" s="237"/>
      <c r="E51" s="237"/>
      <c r="F51" s="237"/>
      <c r="G51" s="237"/>
      <c r="H51" s="237"/>
      <c r="I51" s="237"/>
      <c r="J51" s="237"/>
      <c r="K51" s="237"/>
      <c r="L51" s="237"/>
      <c r="M51" s="237"/>
      <c r="N51" s="237"/>
      <c r="O51" s="237"/>
      <c r="P51" s="237"/>
      <c r="Q51" s="237"/>
      <c r="R51" s="237"/>
      <c r="S51" s="237"/>
      <c r="T51" s="237"/>
      <c r="U51" s="237"/>
      <c r="V51" s="237"/>
      <c r="W51" s="237"/>
      <c r="X51" s="237"/>
      <c r="Y51" s="237"/>
      <c r="AA51" s="248"/>
    </row>
    <row r="52" spans="1:30" x14ac:dyDescent="0.2">
      <c r="A52" s="1070" t="s">
        <v>191</v>
      </c>
      <c r="D52" s="1067"/>
      <c r="E52" s="1067">
        <v>1220355</v>
      </c>
      <c r="F52" s="1067">
        <v>0</v>
      </c>
      <c r="G52" s="1067">
        <v>0</v>
      </c>
      <c r="H52" s="1067">
        <v>0</v>
      </c>
      <c r="I52" s="1067">
        <v>0</v>
      </c>
      <c r="J52" s="1067">
        <v>612301</v>
      </c>
      <c r="K52" s="1067">
        <v>107130</v>
      </c>
      <c r="L52" s="1067">
        <v>0</v>
      </c>
      <c r="M52" s="1067">
        <v>0</v>
      </c>
      <c r="N52" s="1067">
        <v>263842</v>
      </c>
      <c r="O52" s="1067">
        <v>0</v>
      </c>
      <c r="P52" s="1067">
        <v>72525</v>
      </c>
      <c r="Q52" s="1067">
        <v>0</v>
      </c>
      <c r="R52" s="1067">
        <v>0</v>
      </c>
      <c r="S52" s="1067">
        <v>0</v>
      </c>
      <c r="T52" s="1067">
        <v>27028103</v>
      </c>
      <c r="U52" s="1067">
        <v>367463</v>
      </c>
      <c r="V52" s="1067">
        <v>60096</v>
      </c>
      <c r="W52" s="1067">
        <v>0</v>
      </c>
      <c r="X52" s="1067">
        <v>613000</v>
      </c>
      <c r="Y52" s="1067">
        <v>0</v>
      </c>
      <c r="AA52" s="568">
        <f>SUM(E52:Y52)</f>
        <v>30344815</v>
      </c>
      <c r="AC52" s="568">
        <v>30344815</v>
      </c>
      <c r="AD52" s="615">
        <f>AA52-AC52</f>
        <v>0</v>
      </c>
    </row>
    <row r="53" spans="1:30" x14ac:dyDescent="0.2">
      <c r="A53" s="1070" t="s">
        <v>195</v>
      </c>
      <c r="D53" s="1067"/>
      <c r="E53" s="1067">
        <v>15609770</v>
      </c>
      <c r="F53" s="1067">
        <v>7289352</v>
      </c>
      <c r="G53" s="1067">
        <v>10810860</v>
      </c>
      <c r="H53" s="1067">
        <v>0</v>
      </c>
      <c r="I53" s="1067">
        <v>4826709</v>
      </c>
      <c r="J53" s="1067">
        <v>1472832</v>
      </c>
      <c r="K53" s="1067">
        <v>1559864</v>
      </c>
      <c r="L53" s="1067">
        <v>0</v>
      </c>
      <c r="M53" s="1067">
        <v>0</v>
      </c>
      <c r="N53" s="1067">
        <v>13365651</v>
      </c>
      <c r="O53" s="1067">
        <v>0</v>
      </c>
      <c r="P53" s="1067">
        <v>8442668</v>
      </c>
      <c r="Q53" s="1067">
        <v>0</v>
      </c>
      <c r="R53" s="1067">
        <v>0</v>
      </c>
      <c r="S53" s="1129">
        <f>57101030+2</f>
        <v>57101032</v>
      </c>
      <c r="T53" s="1067">
        <v>0</v>
      </c>
      <c r="U53" s="1067">
        <v>27930053</v>
      </c>
      <c r="V53" s="1067">
        <v>20848501</v>
      </c>
      <c r="W53" s="1067">
        <v>26334</v>
      </c>
      <c r="X53" s="1067">
        <v>47266000</v>
      </c>
      <c r="Y53" s="1067">
        <v>0</v>
      </c>
      <c r="AA53" s="568">
        <f t="shared" ref="AA53:AA56" si="10">SUM(E53:Y53)</f>
        <v>216549626</v>
      </c>
      <c r="AC53" s="568">
        <v>216549624</v>
      </c>
      <c r="AD53" s="615">
        <f>AA53-AC53</f>
        <v>2</v>
      </c>
    </row>
    <row r="54" spans="1:30" x14ac:dyDescent="0.2">
      <c r="A54" s="1070" t="s">
        <v>718</v>
      </c>
      <c r="D54" s="1067"/>
      <c r="E54" s="1067">
        <v>0</v>
      </c>
      <c r="F54" s="1067">
        <v>179498</v>
      </c>
      <c r="G54" s="1067">
        <v>1658453</v>
      </c>
      <c r="H54" s="1067">
        <v>0</v>
      </c>
      <c r="I54" s="1067">
        <v>49225</v>
      </c>
      <c r="J54" s="1067">
        <v>190975</v>
      </c>
      <c r="K54" s="1067">
        <v>410292</v>
      </c>
      <c r="L54" s="1067">
        <v>0</v>
      </c>
      <c r="M54" s="1067">
        <v>432299</v>
      </c>
      <c r="N54" s="1067">
        <v>41998</v>
      </c>
      <c r="O54" s="1067">
        <v>0</v>
      </c>
      <c r="P54" s="1067">
        <v>264390</v>
      </c>
      <c r="Q54" s="1067">
        <v>0</v>
      </c>
      <c r="R54" s="1067">
        <v>0</v>
      </c>
      <c r="S54" s="1067">
        <v>2510563</v>
      </c>
      <c r="T54" s="1067">
        <v>0</v>
      </c>
      <c r="U54" s="1067">
        <v>1863196</v>
      </c>
      <c r="V54" s="1067">
        <v>615021</v>
      </c>
      <c r="W54" s="1067">
        <v>284148</v>
      </c>
      <c r="X54" s="1067">
        <v>1609000</v>
      </c>
      <c r="Y54" s="1067">
        <v>0</v>
      </c>
      <c r="AA54" s="568">
        <f t="shared" si="10"/>
        <v>10109058</v>
      </c>
      <c r="AC54" s="568">
        <v>10109058</v>
      </c>
      <c r="AD54" s="615">
        <f>AA54-AC54</f>
        <v>0</v>
      </c>
    </row>
    <row r="55" spans="1:30" x14ac:dyDescent="0.2">
      <c r="A55" s="1070" t="s">
        <v>245</v>
      </c>
      <c r="D55" s="1067"/>
      <c r="E55" s="1067">
        <v>0</v>
      </c>
      <c r="F55" s="1067">
        <v>0</v>
      </c>
      <c r="G55" s="1067">
        <v>0</v>
      </c>
      <c r="H55" s="1067">
        <v>0</v>
      </c>
      <c r="I55" s="1067">
        <v>0</v>
      </c>
      <c r="J55" s="1067">
        <v>0</v>
      </c>
      <c r="K55" s="1067">
        <v>0</v>
      </c>
      <c r="L55" s="1067">
        <v>0</v>
      </c>
      <c r="M55" s="1067">
        <v>0</v>
      </c>
      <c r="N55" s="1067">
        <v>0</v>
      </c>
      <c r="O55" s="1067">
        <v>0</v>
      </c>
      <c r="P55" s="1067">
        <v>0</v>
      </c>
      <c r="Q55" s="1067">
        <v>0</v>
      </c>
      <c r="R55" s="1067">
        <v>0</v>
      </c>
      <c r="S55" s="1067">
        <v>0</v>
      </c>
      <c r="T55" s="1067">
        <v>0</v>
      </c>
      <c r="U55" s="1067">
        <v>0</v>
      </c>
      <c r="V55" s="1067">
        <v>0</v>
      </c>
      <c r="W55" s="1067">
        <v>0</v>
      </c>
      <c r="X55" s="1067">
        <v>92000</v>
      </c>
      <c r="Y55" s="1067">
        <v>0</v>
      </c>
      <c r="AA55" s="568">
        <f t="shared" si="10"/>
        <v>92000</v>
      </c>
      <c r="AC55" s="568">
        <v>92000</v>
      </c>
      <c r="AD55" s="615">
        <f t="shared" ref="AD55:AD58" si="11">AA55-AC55</f>
        <v>0</v>
      </c>
    </row>
    <row r="56" spans="1:30" x14ac:dyDescent="0.2">
      <c r="A56" s="1070" t="s">
        <v>1546</v>
      </c>
      <c r="D56" s="1067"/>
      <c r="E56" s="1067">
        <v>0</v>
      </c>
      <c r="F56" s="1067">
        <v>0</v>
      </c>
      <c r="G56" s="1067">
        <v>0</v>
      </c>
      <c r="H56" s="1067">
        <v>0</v>
      </c>
      <c r="I56" s="1067">
        <v>0</v>
      </c>
      <c r="J56" s="1067">
        <v>0</v>
      </c>
      <c r="K56" s="1067">
        <v>0</v>
      </c>
      <c r="L56" s="1067">
        <v>0</v>
      </c>
      <c r="M56" s="1067">
        <v>0</v>
      </c>
      <c r="N56" s="1067">
        <v>0</v>
      </c>
      <c r="O56" s="1067">
        <v>0</v>
      </c>
      <c r="P56" s="1067">
        <v>0</v>
      </c>
      <c r="Q56" s="1067">
        <v>0</v>
      </c>
      <c r="R56" s="1067">
        <v>0</v>
      </c>
      <c r="S56" s="1067">
        <v>0</v>
      </c>
      <c r="T56" s="1067">
        <v>0</v>
      </c>
      <c r="U56" s="1067">
        <v>0</v>
      </c>
      <c r="V56" s="1067">
        <v>0</v>
      </c>
      <c r="W56" s="1067">
        <v>0</v>
      </c>
      <c r="X56" s="1067">
        <v>0</v>
      </c>
      <c r="Y56" s="1067">
        <v>0</v>
      </c>
      <c r="AA56" s="568">
        <f t="shared" si="10"/>
        <v>0</v>
      </c>
      <c r="AC56" s="568">
        <v>0</v>
      </c>
      <c r="AD56" s="615">
        <f t="shared" si="11"/>
        <v>0</v>
      </c>
    </row>
    <row r="57" spans="1:30" ht="22.5" x14ac:dyDescent="0.2">
      <c r="A57" s="847" t="s">
        <v>1724</v>
      </c>
      <c r="D57" s="1067"/>
      <c r="E57" s="1067">
        <v>0</v>
      </c>
      <c r="F57" s="1067">
        <v>0</v>
      </c>
      <c r="G57" s="1067">
        <v>0</v>
      </c>
      <c r="H57" s="1067">
        <v>0</v>
      </c>
      <c r="I57" s="1067">
        <v>0</v>
      </c>
      <c r="J57" s="1067">
        <v>0</v>
      </c>
      <c r="K57" s="1067">
        <v>0</v>
      </c>
      <c r="L57" s="1067">
        <v>0</v>
      </c>
      <c r="M57" s="1067">
        <v>0</v>
      </c>
      <c r="N57" s="1067">
        <v>0</v>
      </c>
      <c r="O57" s="1067">
        <v>0</v>
      </c>
      <c r="P57" s="1067">
        <v>0</v>
      </c>
      <c r="Q57" s="1067">
        <v>0</v>
      </c>
      <c r="R57" s="1067">
        <v>0</v>
      </c>
      <c r="S57" s="1067">
        <v>0</v>
      </c>
      <c r="T57" s="1067">
        <v>0</v>
      </c>
      <c r="U57" s="1067">
        <v>0</v>
      </c>
      <c r="V57" s="1067">
        <v>0</v>
      </c>
      <c r="W57" s="1067">
        <v>0</v>
      </c>
      <c r="X57" s="1067">
        <v>0</v>
      </c>
      <c r="Y57" s="1067">
        <v>0</v>
      </c>
      <c r="AA57" s="568">
        <f>SUM(E57:Y57)</f>
        <v>0</v>
      </c>
      <c r="AC57" s="568">
        <v>0</v>
      </c>
      <c r="AD57" s="615">
        <f t="shared" ref="AD57" si="12">AA57-AC57</f>
        <v>0</v>
      </c>
    </row>
    <row r="58" spans="1:30" ht="22.5" x14ac:dyDescent="0.2">
      <c r="A58" s="847" t="s">
        <v>1553</v>
      </c>
      <c r="D58" s="1067"/>
      <c r="E58" s="1067">
        <v>1893701</v>
      </c>
      <c r="F58" s="1067">
        <v>1693160</v>
      </c>
      <c r="G58" s="1067">
        <v>13731775</v>
      </c>
      <c r="H58" s="1067">
        <v>0</v>
      </c>
      <c r="I58" s="1067">
        <v>1948431</v>
      </c>
      <c r="J58" s="1067">
        <v>1019207</v>
      </c>
      <c r="K58" s="1067">
        <v>1756364</v>
      </c>
      <c r="L58" s="1067">
        <v>0</v>
      </c>
      <c r="M58" s="1067">
        <v>501353</v>
      </c>
      <c r="N58" s="1129">
        <f>1745395+3053234</f>
        <v>4798629</v>
      </c>
      <c r="O58" s="1067">
        <v>0</v>
      </c>
      <c r="P58" s="1067">
        <v>1427578</v>
      </c>
      <c r="Q58" s="1067">
        <v>0</v>
      </c>
      <c r="R58" s="1067">
        <v>0</v>
      </c>
      <c r="S58" s="1067">
        <v>53198173</v>
      </c>
      <c r="T58" s="1067">
        <v>13131280</v>
      </c>
      <c r="U58" s="1067">
        <v>26399425</v>
      </c>
      <c r="V58" s="1067">
        <v>383258</v>
      </c>
      <c r="W58" s="1067">
        <v>215517</v>
      </c>
      <c r="X58" s="1129">
        <f>7438000+1693000</f>
        <v>9131000</v>
      </c>
      <c r="Y58" s="1067">
        <v>0</v>
      </c>
      <c r="AA58" s="568">
        <f>SUM(E58:Y58)</f>
        <v>131228851</v>
      </c>
      <c r="AC58" s="568">
        <v>131228851</v>
      </c>
      <c r="AD58" s="615">
        <f t="shared" si="11"/>
        <v>0</v>
      </c>
    </row>
    <row r="59" spans="1:30" x14ac:dyDescent="0.2">
      <c r="A59" s="1069" t="s">
        <v>1554</v>
      </c>
      <c r="D59" s="1003">
        <f>SUM(D52:D58)</f>
        <v>0</v>
      </c>
      <c r="E59" s="1003">
        <f t="shared" ref="E59:Y59" si="13">SUM(E52:E58)</f>
        <v>18723826</v>
      </c>
      <c r="F59" s="1003">
        <f t="shared" si="13"/>
        <v>9162010</v>
      </c>
      <c r="G59" s="1003">
        <f t="shared" si="13"/>
        <v>26201088</v>
      </c>
      <c r="H59" s="1003">
        <f t="shared" si="13"/>
        <v>0</v>
      </c>
      <c r="I59" s="1003">
        <f t="shared" si="13"/>
        <v>6824365</v>
      </c>
      <c r="J59" s="1003">
        <f t="shared" si="13"/>
        <v>3295315</v>
      </c>
      <c r="K59" s="1003">
        <f t="shared" si="13"/>
        <v>3833650</v>
      </c>
      <c r="L59" s="1003">
        <f t="shared" si="13"/>
        <v>0</v>
      </c>
      <c r="M59" s="1003">
        <f t="shared" si="13"/>
        <v>933652</v>
      </c>
      <c r="N59" s="1003">
        <f>SUM(N52:N58)</f>
        <v>18470120</v>
      </c>
      <c r="O59" s="1003">
        <f t="shared" si="13"/>
        <v>0</v>
      </c>
      <c r="P59" s="1003">
        <f t="shared" si="13"/>
        <v>10207161</v>
      </c>
      <c r="Q59" s="1003">
        <f t="shared" si="13"/>
        <v>0</v>
      </c>
      <c r="R59" s="1003">
        <f>SUM(R52:R58)</f>
        <v>0</v>
      </c>
      <c r="S59" s="1003">
        <f t="shared" si="13"/>
        <v>112809768</v>
      </c>
      <c r="T59" s="1003">
        <f t="shared" si="13"/>
        <v>40159383</v>
      </c>
      <c r="U59" s="1003">
        <f t="shared" si="13"/>
        <v>56560137</v>
      </c>
      <c r="V59" s="1003">
        <f t="shared" si="13"/>
        <v>21906876</v>
      </c>
      <c r="W59" s="1003">
        <f t="shared" si="13"/>
        <v>525999</v>
      </c>
      <c r="X59" s="1003">
        <f t="shared" si="13"/>
        <v>58711000</v>
      </c>
      <c r="Y59" s="1003">
        <f t="shared" si="13"/>
        <v>0</v>
      </c>
      <c r="AA59" s="114">
        <f>SUM(AA52:AA58)</f>
        <v>388324350</v>
      </c>
      <c r="AB59" s="1073"/>
      <c r="AC59" s="1072">
        <f>SUM(AC52:AC58)</f>
        <v>388324348</v>
      </c>
      <c r="AD59" s="616">
        <f>AA59-AC59</f>
        <v>2</v>
      </c>
    </row>
    <row r="60" spans="1:30" x14ac:dyDescent="0.2">
      <c r="A60" s="85" t="s">
        <v>1432</v>
      </c>
      <c r="D60" s="1003">
        <f>D48+D59</f>
        <v>0</v>
      </c>
      <c r="E60" s="1003">
        <f t="shared" ref="E60:Y60" si="14">E48+E59</f>
        <v>272529219</v>
      </c>
      <c r="F60" s="1003">
        <f t="shared" si="14"/>
        <v>642302783</v>
      </c>
      <c r="G60" s="1003">
        <f t="shared" si="14"/>
        <v>1038547508</v>
      </c>
      <c r="H60" s="1003">
        <f t="shared" si="14"/>
        <v>19849080</v>
      </c>
      <c r="I60" s="1003">
        <f t="shared" si="14"/>
        <v>709221121</v>
      </c>
      <c r="J60" s="1003">
        <f t="shared" si="14"/>
        <v>194473282</v>
      </c>
      <c r="K60" s="1003">
        <f t="shared" si="14"/>
        <v>224653459</v>
      </c>
      <c r="L60" s="1003">
        <f t="shared" si="14"/>
        <v>2443177</v>
      </c>
      <c r="M60" s="1003">
        <f t="shared" si="14"/>
        <v>278589174</v>
      </c>
      <c r="N60" s="1003">
        <f>N48+N59</f>
        <v>524133316</v>
      </c>
      <c r="O60" s="1003">
        <f t="shared" si="14"/>
        <v>21615163</v>
      </c>
      <c r="P60" s="1003">
        <f t="shared" si="14"/>
        <v>330454361</v>
      </c>
      <c r="Q60" s="1003">
        <f t="shared" si="14"/>
        <v>2920087</v>
      </c>
      <c r="R60" s="1003">
        <f>R48+R59</f>
        <v>8223395</v>
      </c>
      <c r="S60" s="1003">
        <f t="shared" si="14"/>
        <v>4218308151</v>
      </c>
      <c r="T60" s="1003">
        <f t="shared" si="14"/>
        <v>1077490284</v>
      </c>
      <c r="U60" s="1003">
        <f t="shared" si="14"/>
        <v>1517337167</v>
      </c>
      <c r="V60" s="1003">
        <f t="shared" si="14"/>
        <v>973412712</v>
      </c>
      <c r="W60" s="1003">
        <f t="shared" si="14"/>
        <v>200345021</v>
      </c>
      <c r="X60" s="1003">
        <f t="shared" si="14"/>
        <v>1769490000</v>
      </c>
      <c r="Y60" s="1003">
        <f t="shared" si="14"/>
        <v>239094137</v>
      </c>
      <c r="AA60" s="119">
        <f>AA48+AA59</f>
        <v>14265432597</v>
      </c>
      <c r="AB60" s="119"/>
      <c r="AC60" s="412">
        <f>AC48+AC59</f>
        <v>14264961132</v>
      </c>
      <c r="AD60" s="616">
        <f>AA60-AC60</f>
        <v>471465</v>
      </c>
    </row>
    <row r="61" spans="1:30" x14ac:dyDescent="0.2">
      <c r="A61" s="1069" t="s">
        <v>1725</v>
      </c>
      <c r="D61" s="97">
        <f>D33-D60</f>
        <v>0</v>
      </c>
      <c r="E61" s="97">
        <f t="shared" ref="E61:Y61" si="15">E33-E60</f>
        <v>584435907</v>
      </c>
      <c r="F61" s="97">
        <f t="shared" si="15"/>
        <v>806844521</v>
      </c>
      <c r="G61" s="97">
        <f t="shared" si="15"/>
        <v>1220857164</v>
      </c>
      <c r="H61" s="97">
        <f t="shared" si="15"/>
        <v>29466698</v>
      </c>
      <c r="I61" s="97">
        <f t="shared" si="15"/>
        <v>1237587750</v>
      </c>
      <c r="J61" s="97">
        <f t="shared" si="15"/>
        <v>270178081</v>
      </c>
      <c r="K61" s="97">
        <f t="shared" si="15"/>
        <v>437240756</v>
      </c>
      <c r="L61" s="97">
        <f t="shared" si="15"/>
        <v>8536097</v>
      </c>
      <c r="M61" s="97">
        <f t="shared" si="15"/>
        <v>263275942</v>
      </c>
      <c r="N61" s="97">
        <f>N33-N60</f>
        <v>772023999</v>
      </c>
      <c r="O61" s="97">
        <f t="shared" si="15"/>
        <v>24944244</v>
      </c>
      <c r="P61" s="97">
        <f t="shared" si="15"/>
        <v>343797130</v>
      </c>
      <c r="Q61" s="97">
        <f t="shared" si="15"/>
        <v>1254249</v>
      </c>
      <c r="R61" s="97">
        <f t="shared" si="15"/>
        <v>11880754</v>
      </c>
      <c r="S61" s="97">
        <f t="shared" si="15"/>
        <v>4449766125</v>
      </c>
      <c r="T61" s="97">
        <f t="shared" si="15"/>
        <v>1280105073</v>
      </c>
      <c r="U61" s="97">
        <f t="shared" si="15"/>
        <v>1679742722</v>
      </c>
      <c r="V61" s="97">
        <f t="shared" si="15"/>
        <v>1273030731</v>
      </c>
      <c r="W61" s="97">
        <f t="shared" si="15"/>
        <v>427013643</v>
      </c>
      <c r="X61" s="97">
        <f>X33-X60</f>
        <v>2150406000</v>
      </c>
      <c r="Y61" s="97">
        <f t="shared" si="15"/>
        <v>249758686</v>
      </c>
      <c r="AA61" s="616">
        <f>SUM(E61:Y61)</f>
        <v>17522146272</v>
      </c>
      <c r="AC61" s="1072">
        <f>AC33-AC60</f>
        <v>17530955540</v>
      </c>
      <c r="AD61" s="616">
        <f>AA61-AC61</f>
        <v>-8809268</v>
      </c>
    </row>
    <row r="62" spans="1:30" ht="13.5" thickBot="1" x14ac:dyDescent="0.25">
      <c r="A62" s="85" t="s">
        <v>654</v>
      </c>
      <c r="C62" s="99" t="s">
        <v>503</v>
      </c>
      <c r="D62" s="120">
        <f>SUM(D9,D61)</f>
        <v>0</v>
      </c>
      <c r="E62" s="120">
        <f t="shared" ref="E62:Y62" si="16">SUM(E9,E61)</f>
        <v>611926813</v>
      </c>
      <c r="F62" s="120">
        <f t="shared" si="16"/>
        <v>1139980019</v>
      </c>
      <c r="G62" s="120">
        <f t="shared" si="16"/>
        <v>1349862280</v>
      </c>
      <c r="H62" s="120">
        <f t="shared" si="16"/>
        <v>53818457</v>
      </c>
      <c r="I62" s="120">
        <f t="shared" si="16"/>
        <v>1368853647</v>
      </c>
      <c r="J62" s="120">
        <f t="shared" si="16"/>
        <v>288538501</v>
      </c>
      <c r="K62" s="120">
        <f t="shared" si="16"/>
        <v>452386794</v>
      </c>
      <c r="L62" s="120">
        <f t="shared" si="16"/>
        <v>8536097</v>
      </c>
      <c r="M62" s="120">
        <f t="shared" si="16"/>
        <v>280576999</v>
      </c>
      <c r="N62" s="120">
        <f t="shared" si="16"/>
        <v>904830939</v>
      </c>
      <c r="O62" s="120">
        <f t="shared" si="16"/>
        <v>26761593</v>
      </c>
      <c r="P62" s="120">
        <f t="shared" si="16"/>
        <v>440827610</v>
      </c>
      <c r="Q62" s="120">
        <f t="shared" si="16"/>
        <v>1254249</v>
      </c>
      <c r="R62" s="120">
        <f>SUM(R9,R61)</f>
        <v>14690512</v>
      </c>
      <c r="S62" s="120">
        <f t="shared" si="16"/>
        <v>5141259964</v>
      </c>
      <c r="T62" s="120">
        <f t="shared" si="16"/>
        <v>1395065398</v>
      </c>
      <c r="U62" s="120">
        <f t="shared" si="16"/>
        <v>1814802170</v>
      </c>
      <c r="V62" s="120">
        <f t="shared" si="16"/>
        <v>1395594938</v>
      </c>
      <c r="W62" s="120">
        <f t="shared" si="16"/>
        <v>435058916</v>
      </c>
      <c r="X62" s="120">
        <f t="shared" si="16"/>
        <v>2636577000</v>
      </c>
      <c r="Y62" s="120">
        <f t="shared" si="16"/>
        <v>309170263</v>
      </c>
      <c r="AA62" s="1074">
        <f>SUM(AA9,AA61)</f>
        <v>20070373159</v>
      </c>
      <c r="AB62" s="212"/>
      <c r="AC62" s="1074">
        <f>SUM(AC9,AC61)</f>
        <v>20079654119</v>
      </c>
      <c r="AD62" s="1075">
        <f>AA62-AC62</f>
        <v>-9280960</v>
      </c>
    </row>
    <row r="63" spans="1:30" ht="13.5" thickTop="1" x14ac:dyDescent="0.2">
      <c r="E63" s="86"/>
      <c r="F63" s="86"/>
      <c r="G63" s="86"/>
      <c r="H63" s="86"/>
      <c r="I63" s="86"/>
      <c r="J63" s="86"/>
      <c r="K63" s="86"/>
      <c r="L63" s="86"/>
      <c r="M63" s="86"/>
      <c r="N63" s="86"/>
      <c r="O63" s="86"/>
      <c r="P63" s="86"/>
      <c r="Q63" s="86"/>
      <c r="R63" s="86"/>
      <c r="S63" s="86"/>
      <c r="T63" s="86"/>
      <c r="U63" s="86"/>
      <c r="V63" s="86"/>
      <c r="W63" s="86"/>
      <c r="X63" s="86"/>
      <c r="Y63" s="86"/>
    </row>
    <row r="64" spans="1:30" hidden="1" x14ac:dyDescent="0.2">
      <c r="A64" s="1076" t="s">
        <v>209</v>
      </c>
      <c r="E64" s="86"/>
      <c r="F64" s="86"/>
      <c r="G64" s="86"/>
      <c r="H64" s="86"/>
      <c r="I64" s="86"/>
      <c r="J64" s="86"/>
      <c r="K64" s="86"/>
      <c r="L64" s="86"/>
      <c r="M64" s="86"/>
      <c r="N64" s="86"/>
      <c r="O64" s="86"/>
      <c r="P64" s="86"/>
      <c r="Q64" s="86"/>
      <c r="R64" s="86"/>
      <c r="S64" s="86"/>
      <c r="T64" s="86"/>
      <c r="U64" s="86"/>
      <c r="V64" s="86"/>
      <c r="W64" s="86"/>
      <c r="X64" s="86"/>
      <c r="Y64" s="86"/>
    </row>
    <row r="65" spans="1:30" hidden="1" x14ac:dyDescent="0.2">
      <c r="A65" s="1076" t="s">
        <v>725</v>
      </c>
      <c r="E65" s="86"/>
      <c r="F65" s="86"/>
      <c r="G65" s="86"/>
      <c r="H65" s="86"/>
      <c r="I65" s="86"/>
      <c r="J65" s="86"/>
      <c r="K65" s="86"/>
      <c r="L65" s="86"/>
      <c r="M65" s="86"/>
      <c r="N65" s="86"/>
      <c r="O65" s="86"/>
      <c r="P65" s="86"/>
      <c r="Q65" s="86"/>
      <c r="R65" s="86"/>
      <c r="S65" s="86"/>
      <c r="T65" s="86"/>
      <c r="U65" s="86"/>
      <c r="V65" s="86"/>
      <c r="W65" s="86"/>
      <c r="X65" s="86"/>
      <c r="Y65" s="86"/>
    </row>
    <row r="66" spans="1:30" hidden="1" x14ac:dyDescent="0.2">
      <c r="A66" s="1076" t="s">
        <v>195</v>
      </c>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row>
    <row r="67" spans="1:30" hidden="1" x14ac:dyDescent="0.2">
      <c r="A67" s="1076" t="s">
        <v>718</v>
      </c>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row>
    <row r="68" spans="1:30" hidden="1" x14ac:dyDescent="0.2">
      <c r="A68" s="1076" t="s">
        <v>237</v>
      </c>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row>
    <row r="69" spans="1:30" hidden="1" x14ac:dyDescent="0.2">
      <c r="A69" s="1076" t="s">
        <v>656</v>
      </c>
      <c r="D69" s="568"/>
      <c r="E69" s="568"/>
      <c r="F69" s="568"/>
      <c r="G69" s="568"/>
      <c r="H69" s="568"/>
      <c r="I69" s="568"/>
      <c r="J69" s="568"/>
      <c r="K69" s="568"/>
      <c r="L69" s="568"/>
      <c r="M69" s="568"/>
      <c r="N69" s="568"/>
      <c r="O69" s="568"/>
      <c r="P69" s="568"/>
      <c r="Q69" s="568"/>
      <c r="R69" s="568"/>
      <c r="S69" s="568"/>
      <c r="T69" s="568"/>
      <c r="U69" s="568"/>
      <c r="V69" s="568"/>
      <c r="W69" s="568"/>
      <c r="X69" s="568"/>
      <c r="Y69" s="568"/>
      <c r="Z69" s="568"/>
      <c r="AA69" s="568"/>
      <c r="AB69" s="568"/>
      <c r="AC69" s="568"/>
      <c r="AD69" s="568"/>
    </row>
    <row r="70" spans="1:30" ht="22.5" hidden="1" x14ac:dyDescent="0.2">
      <c r="A70" s="1077" t="s">
        <v>512</v>
      </c>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row>
    <row r="71" spans="1:30" hidden="1" x14ac:dyDescent="0.2">
      <c r="A71" s="1076" t="s">
        <v>719</v>
      </c>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row>
    <row r="72" spans="1:30" hidden="1" x14ac:dyDescent="0.2">
      <c r="A72" s="1078" t="s">
        <v>247</v>
      </c>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row>
    <row r="73" spans="1:30" hidden="1" x14ac:dyDescent="0.2">
      <c r="A73" s="1078" t="s">
        <v>248</v>
      </c>
      <c r="D73" s="568"/>
      <c r="E73" s="568"/>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row>
    <row r="74" spans="1:30" hidden="1" x14ac:dyDescent="0.2">
      <c r="A74" s="1078" t="s">
        <v>249</v>
      </c>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row>
    <row r="75" spans="1:30" hidden="1" x14ac:dyDescent="0.2">
      <c r="A75" s="1078" t="s">
        <v>250</v>
      </c>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row>
    <row r="76" spans="1:30" hidden="1" x14ac:dyDescent="0.2">
      <c r="A76" s="1078" t="s">
        <v>251</v>
      </c>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row>
    <row r="77" spans="1:30" hidden="1" x14ac:dyDescent="0.2">
      <c r="A77" s="1079"/>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row>
    <row r="78" spans="1:30" hidden="1" x14ac:dyDescent="0.2">
      <c r="A78" s="1076" t="s">
        <v>210</v>
      </c>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row>
    <row r="79" spans="1:30" hidden="1" x14ac:dyDescent="0.2">
      <c r="E79" s="86"/>
      <c r="F79" s="86"/>
      <c r="G79" s="86"/>
      <c r="H79" s="86"/>
      <c r="I79" s="86"/>
      <c r="J79" s="86"/>
      <c r="K79" s="86"/>
      <c r="L79" s="86"/>
      <c r="M79" s="86"/>
      <c r="N79" s="86"/>
      <c r="O79" s="86"/>
      <c r="P79" s="86"/>
      <c r="Q79" s="86"/>
      <c r="R79" s="86"/>
      <c r="S79" s="86"/>
      <c r="T79" s="86"/>
      <c r="U79" s="86"/>
      <c r="V79" s="86"/>
      <c r="W79" s="86"/>
      <c r="X79" s="86"/>
      <c r="Y79" s="86"/>
    </row>
    <row r="80" spans="1:30" x14ac:dyDescent="0.2">
      <c r="E80" s="86"/>
      <c r="F80" s="86"/>
      <c r="G80" s="86"/>
      <c r="H80" s="86"/>
      <c r="I80" s="86"/>
      <c r="J80" s="86"/>
      <c r="K80" s="86"/>
      <c r="L80" s="86"/>
      <c r="M80" s="86"/>
      <c r="N80" s="86"/>
      <c r="O80" s="86"/>
      <c r="P80" s="86"/>
      <c r="Q80" s="86"/>
      <c r="R80" s="86"/>
      <c r="S80" s="86"/>
      <c r="T80" s="86"/>
      <c r="U80" s="86"/>
      <c r="V80" s="86"/>
      <c r="W80" s="86"/>
      <c r="X80" s="86"/>
      <c r="Y80" s="86"/>
    </row>
    <row r="81" spans="1:28" ht="22.5" x14ac:dyDescent="0.2">
      <c r="A81" s="847" t="s">
        <v>211</v>
      </c>
      <c r="E81" s="86"/>
      <c r="F81" s="86"/>
      <c r="G81" s="86"/>
      <c r="H81" s="86"/>
      <c r="I81" s="86"/>
      <c r="J81" s="86"/>
      <c r="K81" s="86"/>
      <c r="L81" s="86"/>
      <c r="M81" s="86"/>
      <c r="N81" s="86"/>
      <c r="O81" s="86"/>
      <c r="P81" s="86"/>
      <c r="Q81" s="86"/>
      <c r="R81" s="86"/>
      <c r="S81" s="86"/>
      <c r="T81" s="86"/>
      <c r="U81" s="86"/>
      <c r="V81" s="86"/>
      <c r="W81" s="86"/>
      <c r="X81" s="86"/>
      <c r="Y81" s="86"/>
    </row>
    <row r="82" spans="1:28" hidden="1" x14ac:dyDescent="0.2">
      <c r="E82" s="86"/>
      <c r="F82" s="86"/>
      <c r="G82" s="86"/>
      <c r="H82" s="86"/>
      <c r="I82" s="86"/>
      <c r="J82" s="86"/>
      <c r="K82" s="86"/>
      <c r="L82" s="86"/>
      <c r="M82" s="86"/>
      <c r="N82" s="86"/>
      <c r="O82" s="86"/>
      <c r="P82" s="86"/>
      <c r="Q82" s="86"/>
      <c r="R82" s="86"/>
      <c r="S82" s="86"/>
      <c r="T82" s="86"/>
      <c r="U82" s="86"/>
      <c r="V82" s="86"/>
      <c r="W82" s="86"/>
      <c r="X82" s="86"/>
      <c r="Y82" s="86"/>
    </row>
    <row r="83" spans="1:28" s="570" customFormat="1" hidden="1" x14ac:dyDescent="0.2">
      <c r="A83" s="95"/>
      <c r="B83" s="569"/>
      <c r="C83" s="569"/>
      <c r="AA83" s="613"/>
      <c r="AB83" s="613"/>
    </row>
    <row r="84" spans="1:28" s="570" customFormat="1" hidden="1" x14ac:dyDescent="0.2">
      <c r="A84" s="95"/>
      <c r="B84" s="569"/>
      <c r="C84" s="569"/>
    </row>
    <row r="85" spans="1:28" s="570" customFormat="1" hidden="1" x14ac:dyDescent="0.2">
      <c r="A85" s="624"/>
      <c r="B85" s="569"/>
      <c r="C85" s="569"/>
    </row>
    <row r="86" spans="1:28" s="570" customFormat="1" hidden="1" x14ac:dyDescent="0.2">
      <c r="A86" s="95"/>
      <c r="B86" s="569"/>
      <c r="C86" s="569"/>
    </row>
    <row r="87" spans="1:28" s="570" customFormat="1" hidden="1" x14ac:dyDescent="0.2">
      <c r="A87" s="85"/>
      <c r="B87" s="85"/>
      <c r="C87" s="87"/>
      <c r="D87" s="247"/>
      <c r="E87" s="247"/>
      <c r="F87" s="247"/>
      <c r="G87" s="247"/>
      <c r="H87" s="247"/>
      <c r="I87" s="247"/>
      <c r="J87" s="247"/>
      <c r="K87" s="247"/>
      <c r="L87" s="247"/>
      <c r="M87" s="247"/>
      <c r="N87" s="247"/>
      <c r="O87" s="247"/>
      <c r="P87" s="247"/>
      <c r="Q87" s="247"/>
      <c r="R87" s="247"/>
      <c r="S87" s="247"/>
      <c r="T87" s="247"/>
      <c r="U87" s="247"/>
      <c r="V87" s="247"/>
      <c r="W87" s="247"/>
      <c r="X87" s="247"/>
      <c r="Y87" s="247"/>
    </row>
    <row r="88" spans="1:28" s="570" customFormat="1" hidden="1" x14ac:dyDescent="0.2">
      <c r="A88" s="623"/>
      <c r="B88" s="85"/>
      <c r="C88" s="87"/>
    </row>
    <row r="89" spans="1:28" s="570" customFormat="1" x14ac:dyDescent="0.2">
      <c r="A89" s="95" t="s">
        <v>1548</v>
      </c>
      <c r="B89" s="569"/>
      <c r="C89" s="569"/>
      <c r="D89" s="570" t="str">
        <f>IF(D9='HEI-PY FST $'!G75,"yes","no")</f>
        <v>yes</v>
      </c>
      <c r="E89" s="570" t="str">
        <f>IF(E9='HEI-PY FST $'!H75,"yes","no")</f>
        <v>yes</v>
      </c>
      <c r="F89" s="570" t="str">
        <f>IF(F9='HEI-PY FST $'!I75,"yes","no")</f>
        <v>yes</v>
      </c>
      <c r="G89" s="570" t="str">
        <f>IF(G9='HEI-PY FST $'!J75,"yes","no")</f>
        <v>yes</v>
      </c>
      <c r="H89" s="570" t="str">
        <f>IF(H9='HEI-PY FST $'!K75,"yes","no")</f>
        <v>yes</v>
      </c>
      <c r="I89" s="570" t="str">
        <f>IF(I9='HEI-PY FST $'!L75,"yes","no")</f>
        <v>yes</v>
      </c>
      <c r="J89" s="570" t="str">
        <f>IF(J9='HEI-PY FST $'!M75,"yes","no")</f>
        <v>yes</v>
      </c>
      <c r="K89" s="570" t="str">
        <f>IF(K9='HEI-PY FST $'!N75,"yes","no")</f>
        <v>yes</v>
      </c>
      <c r="L89" s="570" t="str">
        <f>IF(L9='HEI-PY FST $'!O75,"yes","no")</f>
        <v>yes</v>
      </c>
      <c r="M89" s="570" t="str">
        <f>IF(M9='HEI-PY FST $'!P75,"yes","no")</f>
        <v>yes</v>
      </c>
      <c r="N89" s="570" t="str">
        <f>IF(N9='HEI-PY FST $'!Q75,"yes","no")</f>
        <v>yes</v>
      </c>
      <c r="O89" s="570" t="str">
        <f>IF(O9='HEI-PY FST $'!R75,"yes","no")</f>
        <v>yes</v>
      </c>
      <c r="P89" s="570" t="str">
        <f>IF(P9='HEI-PY FST $'!S75,"yes","no")</f>
        <v>yes</v>
      </c>
      <c r="Q89" s="570" t="str">
        <f>IF(Q9='HEI-PY FST $'!T75,"yes","no")</f>
        <v>yes</v>
      </c>
      <c r="R89" s="570" t="str">
        <f>IF(R9='HEI-PY FST $'!U75,"yes","no")</f>
        <v>yes</v>
      </c>
      <c r="S89" s="570" t="str">
        <f>IF(S9='HEI-PY FST $'!V75,"yes","no")</f>
        <v>yes</v>
      </c>
      <c r="T89" s="570" t="str">
        <f>IF(T9='HEI-PY FST $'!W75,"yes","no")</f>
        <v>yes</v>
      </c>
      <c r="U89" s="570" t="str">
        <f>IF(U9='HEI-PY FST $'!X75,"yes","no")</f>
        <v>yes</v>
      </c>
      <c r="V89" s="570" t="str">
        <f>IF(V9='HEI-PY FST $'!Y75,"yes","no")</f>
        <v>yes</v>
      </c>
      <c r="W89" s="570" t="str">
        <f>IF(W9='HEI-PY FST $'!Z75,"yes","no")</f>
        <v>yes</v>
      </c>
      <c r="X89" s="570" t="str">
        <f>IF(X9='HEI-PY FST $'!AA75,"yes","no")</f>
        <v>yes</v>
      </c>
      <c r="Y89" s="570" t="str">
        <f>IF(Y9='HEI-PY FST $'!AB75,"yes","no")</f>
        <v>yes</v>
      </c>
    </row>
    <row r="90" spans="1:28" s="570" customFormat="1" x14ac:dyDescent="0.2">
      <c r="A90" s="95"/>
      <c r="B90" s="569"/>
      <c r="C90" s="569"/>
    </row>
    <row r="91" spans="1:28" s="570" customFormat="1" x14ac:dyDescent="0.2">
      <c r="A91" s="95"/>
      <c r="B91" s="569"/>
      <c r="C91" s="569"/>
    </row>
    <row r="92" spans="1:28" s="570" customFormat="1" hidden="1" x14ac:dyDescent="0.2">
      <c r="A92" s="95"/>
      <c r="B92" s="569"/>
      <c r="C92" s="569"/>
    </row>
    <row r="93" spans="1:28" s="570" customFormat="1" hidden="1" x14ac:dyDescent="0.2">
      <c r="A93" s="95"/>
      <c r="B93" s="569"/>
      <c r="C93" s="569"/>
    </row>
    <row r="94" spans="1:28" s="570" customFormat="1" hidden="1" x14ac:dyDescent="0.2">
      <c r="A94" s="95"/>
      <c r="B94" s="569"/>
      <c r="C94" s="569"/>
    </row>
    <row r="95" spans="1:28" s="570" customFormat="1" hidden="1" x14ac:dyDescent="0.2">
      <c r="A95" s="95"/>
      <c r="B95" s="569"/>
      <c r="C95" s="569"/>
    </row>
    <row r="96" spans="1:28" s="570" customFormat="1" hidden="1" x14ac:dyDescent="0.2">
      <c r="A96" s="624"/>
      <c r="B96" s="569"/>
      <c r="C96" s="569"/>
    </row>
    <row r="97" spans="1:25" s="570" customFormat="1" hidden="1" x14ac:dyDescent="0.2">
      <c r="A97" s="95"/>
      <c r="B97" s="569"/>
      <c r="C97" s="569"/>
    </row>
    <row r="98" spans="1:25" s="570" customFormat="1" hidden="1" x14ac:dyDescent="0.2">
      <c r="A98" s="149"/>
      <c r="B98" s="569"/>
      <c r="C98" s="569"/>
    </row>
    <row r="99" spans="1:25" s="570" customFormat="1" hidden="1" x14ac:dyDescent="0.2">
      <c r="A99" s="149"/>
      <c r="B99" s="569"/>
      <c r="C99" s="569"/>
    </row>
    <row r="100" spans="1:25" s="570" customFormat="1" hidden="1" x14ac:dyDescent="0.2">
      <c r="A100" s="149"/>
      <c r="B100" s="569"/>
      <c r="C100" s="569"/>
    </row>
    <row r="101" spans="1:25" s="570" customFormat="1" hidden="1" x14ac:dyDescent="0.2">
      <c r="A101" s="149"/>
      <c r="B101" s="569"/>
      <c r="C101" s="569"/>
    </row>
    <row r="102" spans="1:25" s="570" customFormat="1" hidden="1" x14ac:dyDescent="0.2">
      <c r="A102" s="149"/>
      <c r="B102" s="569"/>
      <c r="C102" s="569"/>
    </row>
    <row r="103" spans="1:25" s="570" customFormat="1" hidden="1" x14ac:dyDescent="0.2">
      <c r="A103" s="623"/>
      <c r="B103" s="569"/>
      <c r="C103" s="569"/>
    </row>
    <row r="104" spans="1:25" s="570" customFormat="1" x14ac:dyDescent="0.2">
      <c r="A104" s="95" t="s">
        <v>1435</v>
      </c>
      <c r="B104" s="569"/>
      <c r="C104" s="569"/>
      <c r="D104" s="570" t="str">
        <f>IF(D61='HEI-PY FST $'!G89,"yes","no")</f>
        <v>yes</v>
      </c>
      <c r="E104" s="570" t="str">
        <f>IF(E61='HEI-PY FST $'!H89,"yes","no")</f>
        <v>yes</v>
      </c>
      <c r="F104" s="570" t="str">
        <f>IF(F61='HEI-PY FST $'!I89,"yes","no")</f>
        <v>yes</v>
      </c>
      <c r="G104" s="570" t="str">
        <f>IF(G61='HEI-PY FST $'!J89,"yes","no")</f>
        <v>yes</v>
      </c>
      <c r="H104" s="570" t="str">
        <f>IF(H61='HEI-PY FST $'!K89,"yes","no")</f>
        <v>yes</v>
      </c>
      <c r="I104" s="570" t="str">
        <f>IF(I61='HEI-PY FST $'!L89,"yes","no")</f>
        <v>yes</v>
      </c>
      <c r="J104" s="570" t="str">
        <f>IF(J61='HEI-PY FST $'!M89,"yes","no")</f>
        <v>yes</v>
      </c>
      <c r="K104" s="570" t="str">
        <f>IF(K61='HEI-PY FST $'!N89,"yes","no")</f>
        <v>yes</v>
      </c>
      <c r="L104" s="570" t="str">
        <f>IF(L61='HEI-PY FST $'!O89,"yes","no")</f>
        <v>yes</v>
      </c>
      <c r="M104" s="570" t="str">
        <f>IF(M61='HEI-PY FST $'!P89,"yes","no")</f>
        <v>yes</v>
      </c>
      <c r="N104" s="570" t="str">
        <f>IF(N61='HEI-PY FST $'!Q89,"yes","no")</f>
        <v>yes</v>
      </c>
      <c r="O104" s="570" t="str">
        <f>IF(O61='HEI-PY FST $'!R89,"yes","no")</f>
        <v>yes</v>
      </c>
      <c r="P104" s="570" t="str">
        <f>IF(P61='HEI-PY FST $'!S89,"yes","no")</f>
        <v>yes</v>
      </c>
      <c r="Q104" s="570" t="str">
        <f>IF(Q61='HEI-PY FST $'!T89,"yes","no")</f>
        <v>yes</v>
      </c>
      <c r="R104" s="570" t="str">
        <f>IF(R61='HEI-PY FST $'!U89,"yes","no")</f>
        <v>yes</v>
      </c>
      <c r="S104" s="570" t="str">
        <f>IF(S61='HEI-PY FST $'!V89,"yes","no")</f>
        <v>yes</v>
      </c>
      <c r="T104" s="570" t="str">
        <f>IF(T61='HEI-PY FST $'!W89,"yes","no")</f>
        <v>yes</v>
      </c>
      <c r="U104" s="570" t="str">
        <f>IF(U61='HEI-PY FST $'!X89,"yes","no")</f>
        <v>yes</v>
      </c>
      <c r="V104" s="570" t="str">
        <f>IF(V61='HEI-PY FST $'!Y89,"yes","no")</f>
        <v>yes</v>
      </c>
      <c r="W104" s="570" t="str">
        <f>IF(W61='HEI-PY FST $'!Z89,"yes","no")</f>
        <v>yes</v>
      </c>
      <c r="X104" s="570" t="str">
        <f>IF(X61='HEI-PY FST $'!AA89,"yes","no")</f>
        <v>yes</v>
      </c>
      <c r="Y104" s="570" t="str">
        <f>IF(Y61='HEI-PY FST $'!AB89,"yes","no")</f>
        <v>yes</v>
      </c>
    </row>
    <row r="105" spans="1:25" x14ac:dyDescent="0.2">
      <c r="E105" s="86"/>
      <c r="F105" s="86"/>
      <c r="G105" s="86"/>
      <c r="H105" s="86"/>
      <c r="I105" s="86"/>
      <c r="J105" s="86"/>
      <c r="K105" s="86"/>
      <c r="L105" s="86"/>
      <c r="M105" s="86"/>
      <c r="N105" s="86"/>
      <c r="O105" s="86"/>
      <c r="P105" s="86"/>
      <c r="Q105" s="86"/>
      <c r="R105" s="86"/>
      <c r="S105" s="86"/>
      <c r="T105" s="86"/>
      <c r="U105" s="86"/>
      <c r="V105" s="86"/>
      <c r="W105" s="86"/>
      <c r="X105" s="86"/>
      <c r="Y105" s="86"/>
    </row>
    <row r="106" spans="1:25" x14ac:dyDescent="0.2">
      <c r="E106" s="86"/>
      <c r="F106" s="86"/>
      <c r="G106" s="86"/>
      <c r="H106" s="86"/>
      <c r="I106" s="86"/>
      <c r="J106" s="86"/>
      <c r="K106" s="86"/>
      <c r="L106" s="86"/>
      <c r="M106" s="86"/>
      <c r="N106" s="86"/>
      <c r="O106" s="86"/>
      <c r="P106" s="86"/>
      <c r="Q106" s="86"/>
      <c r="R106" s="86"/>
      <c r="S106" s="86"/>
      <c r="T106" s="86"/>
      <c r="U106" s="86"/>
      <c r="V106" s="86"/>
      <c r="W106" s="86"/>
      <c r="X106" s="86"/>
      <c r="Y106" s="86"/>
    </row>
  </sheetData>
  <sheetProtection algorithmName="SHA-512" hashValue="tIOmJyHI7lZlpWiaRh7M+70lxoh5YuaZjTptLygp8F9ivCZB8zkkrQPgP8VCfNAhHFa/C7XGWbjvrgP7dkN1eQ==" saltValue="PUjTviJ5NyX/N6CsKqDxgQ==" spinCount="100000" sheet="1" objects="1" scenarios="1"/>
  <phoneticPr fontId="51" type="noConversion"/>
  <dataValidations count="1">
    <dataValidation type="whole" allowBlank="1" showInputMessage="1" showErrorMessage="1" error="Enter whole number." sqref="D3:Y8 D36:Y47 D87:Y87 D12:Y23" xr:uid="{00000000-0002-0000-0200-000000000000}">
      <formula1>-1000000000000000000</formula1>
      <formula2>10000000000000000000</formula2>
    </dataValidation>
  </dataValidations>
  <printOptions headings="1" gridLines="1"/>
  <pageMargins left="0.75" right="0.75" top="0.46" bottom="0.52" header="0.28000000000000003" footer="0.17"/>
  <pageSetup paperSize="5" scale="65" orientation="landscape" cellComments="asDisplayed" copies="2" r:id="rId1"/>
  <headerFooter alignWithMargins="0">
    <oddFooter>&amp;L&amp;"Arial,Regular"&amp;Z&amp;F &amp;A&amp;R&amp;"Arial,Regular"Page &amp;P</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S74"/>
  <sheetViews>
    <sheetView showGridLines="0" zoomScaleNormal="100" zoomScaleSheetLayoutView="75" workbookViewId="0">
      <selection activeCell="C16" sqref="C16:M16"/>
    </sheetView>
  </sheetViews>
  <sheetFormatPr defaultColWidth="10.33203125" defaultRowHeight="12" x14ac:dyDescent="0.2"/>
  <cols>
    <col min="1" max="1" width="9.33203125" style="771" customWidth="1"/>
    <col min="2" max="2" width="29.33203125" style="771" customWidth="1"/>
    <col min="3" max="3" width="33" style="771" customWidth="1"/>
    <col min="4" max="5" width="6" style="771" customWidth="1"/>
    <col min="6" max="6" width="6" style="771" bestFit="1" customWidth="1"/>
    <col min="7" max="7" width="15.5" style="771" customWidth="1"/>
    <col min="8" max="8" width="2.5" style="771" customWidth="1"/>
    <col min="9" max="9" width="16.1640625" style="771" customWidth="1"/>
    <col min="10" max="10" width="5.83203125" style="771" customWidth="1"/>
    <col min="11" max="11" width="6.6640625" style="771" customWidth="1"/>
    <col min="12" max="12" width="19.83203125" style="771" customWidth="1"/>
    <col min="13" max="13" width="2.1640625" style="771" customWidth="1"/>
    <col min="14" max="14" width="2.5" style="771" customWidth="1"/>
    <col min="15" max="15" width="8.1640625" style="771" customWidth="1"/>
    <col min="16" max="16" width="1.5" style="771" customWidth="1"/>
    <col min="17" max="17" width="10.33203125" style="771"/>
    <col min="18" max="18" width="10.33203125" style="771" hidden="1" customWidth="1"/>
    <col min="19" max="19" width="0" style="771" hidden="1" customWidth="1"/>
    <col min="20" max="16384" width="10.33203125" style="771"/>
  </cols>
  <sheetData>
    <row r="1" spans="1:19" x14ac:dyDescent="0.2">
      <c r="A1" s="770" t="s">
        <v>1213</v>
      </c>
      <c r="C1" s="1682">
        <f>FST!E1</f>
        <v>0</v>
      </c>
      <c r="D1" s="1683"/>
      <c r="E1" s="1683"/>
      <c r="F1" s="1683"/>
      <c r="G1" s="1684"/>
      <c r="I1" s="772"/>
    </row>
    <row r="2" spans="1:19" ht="33.75" customHeight="1" x14ac:dyDescent="0.2">
      <c r="A2" s="770" t="s">
        <v>770</v>
      </c>
      <c r="C2" s="1685" t="str">
        <f>FST!E2</f>
        <v/>
      </c>
      <c r="D2" s="1686"/>
      <c r="E2" s="1686"/>
      <c r="F2" s="1686"/>
      <c r="G2" s="1687"/>
      <c r="I2" s="772"/>
    </row>
    <row r="3" spans="1:19" x14ac:dyDescent="0.2">
      <c r="A3" s="770" t="s">
        <v>1734</v>
      </c>
      <c r="C3" s="773"/>
      <c r="D3" s="773"/>
      <c r="E3" s="773"/>
      <c r="F3" s="773"/>
      <c r="G3" s="773"/>
      <c r="I3" s="772"/>
    </row>
    <row r="4" spans="1:19" ht="4.5" customHeight="1" x14ac:dyDescent="0.2">
      <c r="A4" s="770"/>
      <c r="C4" s="773"/>
      <c r="D4" s="773"/>
      <c r="E4" s="773"/>
      <c r="F4" s="773"/>
      <c r="G4" s="773"/>
      <c r="I4" s="772"/>
    </row>
    <row r="5" spans="1:19" ht="4.5" customHeight="1" x14ac:dyDescent="0.2">
      <c r="A5" s="770"/>
      <c r="C5" s="773"/>
      <c r="D5" s="773"/>
      <c r="E5" s="773"/>
      <c r="F5" s="773"/>
      <c r="G5" s="773"/>
      <c r="I5" s="772"/>
    </row>
    <row r="6" spans="1:19" s="770" customFormat="1" ht="4.5" customHeight="1" x14ac:dyDescent="0.2"/>
    <row r="7" spans="1:19" ht="15" customHeight="1" x14ac:dyDescent="0.2">
      <c r="A7" s="1688" t="s">
        <v>1242</v>
      </c>
      <c r="B7" s="1688"/>
      <c r="C7" s="1688"/>
      <c r="D7" s="1688"/>
      <c r="E7" s="1688"/>
      <c r="F7" s="1688"/>
      <c r="G7" s="1688"/>
      <c r="H7" s="1688"/>
      <c r="I7" s="1688"/>
      <c r="J7" s="1688"/>
      <c r="K7" s="1688"/>
      <c r="L7" s="1688"/>
      <c r="M7" s="1688"/>
    </row>
    <row r="8" spans="1:19" ht="27" customHeight="1" x14ac:dyDescent="0.2">
      <c r="A8" s="1688" t="s">
        <v>1116</v>
      </c>
      <c r="B8" s="1688"/>
      <c r="C8" s="1688"/>
      <c r="D8" s="1688"/>
      <c r="E8" s="1688"/>
      <c r="F8" s="1688"/>
      <c r="G8" s="1688"/>
      <c r="H8" s="1688"/>
      <c r="I8" s="1688"/>
      <c r="J8" s="1688"/>
      <c r="K8" s="1688"/>
      <c r="L8" s="1688"/>
      <c r="M8" s="1688"/>
      <c r="R8" s="771" t="s">
        <v>155</v>
      </c>
      <c r="S8" s="771" t="s">
        <v>155</v>
      </c>
    </row>
    <row r="9" spans="1:19" ht="8.25" customHeight="1" x14ac:dyDescent="0.2">
      <c r="A9" s="774"/>
      <c r="B9" s="775"/>
      <c r="C9" s="775"/>
      <c r="D9" s="775"/>
      <c r="E9" s="775"/>
      <c r="F9" s="775"/>
      <c r="G9" s="775"/>
      <c r="H9" s="775"/>
      <c r="I9" s="775"/>
      <c r="J9" s="775"/>
      <c r="R9" s="771" t="s">
        <v>156</v>
      </c>
      <c r="S9" s="771" t="s">
        <v>156</v>
      </c>
    </row>
    <row r="10" spans="1:19" ht="43.5" customHeight="1" x14ac:dyDescent="0.2">
      <c r="A10" s="776" t="s">
        <v>214</v>
      </c>
      <c r="B10" s="777" t="s">
        <v>1038</v>
      </c>
      <c r="C10" s="1689" t="s">
        <v>1412</v>
      </c>
      <c r="D10" s="1690"/>
      <c r="E10" s="1690"/>
      <c r="F10" s="1690"/>
      <c r="G10" s="1690"/>
      <c r="H10" s="1690"/>
      <c r="I10" s="1690"/>
      <c r="J10" s="1690"/>
      <c r="K10" s="1690"/>
      <c r="L10" s="1690"/>
      <c r="M10" s="1690"/>
      <c r="R10" s="771" t="s">
        <v>1117</v>
      </c>
      <c r="S10" s="771" t="s">
        <v>380</v>
      </c>
    </row>
    <row r="11" spans="1:19" ht="9.75" customHeight="1" x14ac:dyDescent="0.2">
      <c r="A11" s="776"/>
      <c r="B11" s="778"/>
      <c r="C11" s="779"/>
      <c r="D11" s="775"/>
      <c r="E11" s="775"/>
      <c r="F11" s="775"/>
      <c r="G11" s="775"/>
      <c r="H11" s="775"/>
      <c r="I11" s="775"/>
      <c r="J11" s="775"/>
    </row>
    <row r="12" spans="1:19" x14ac:dyDescent="0.2">
      <c r="A12" s="776" t="s">
        <v>543</v>
      </c>
      <c r="B12" s="777" t="s">
        <v>1038</v>
      </c>
      <c r="C12" s="1691" t="s">
        <v>1118</v>
      </c>
      <c r="D12" s="1692"/>
      <c r="E12" s="1692"/>
      <c r="F12" s="1692"/>
      <c r="G12" s="1692"/>
      <c r="H12" s="1692"/>
      <c r="I12" s="1692"/>
      <c r="J12" s="1692"/>
      <c r="K12" s="1692"/>
      <c r="L12" s="1692"/>
      <c r="M12" s="1693"/>
    </row>
    <row r="13" spans="1:19" x14ac:dyDescent="0.2">
      <c r="A13" s="776"/>
      <c r="B13" s="778"/>
      <c r="C13" s="1694" t="s">
        <v>1119</v>
      </c>
      <c r="D13" s="1695"/>
      <c r="E13" s="1695"/>
      <c r="F13" s="1695"/>
      <c r="G13" s="1695"/>
      <c r="H13" s="1695"/>
      <c r="I13" s="1695"/>
      <c r="J13" s="1695"/>
      <c r="K13" s="1695"/>
      <c r="L13" s="1695"/>
      <c r="M13" s="1696"/>
    </row>
    <row r="14" spans="1:19" ht="25.5" customHeight="1" x14ac:dyDescent="0.2">
      <c r="A14" s="776"/>
      <c r="B14" s="778"/>
      <c r="C14" s="1697" t="s">
        <v>1120</v>
      </c>
      <c r="D14" s="1698"/>
      <c r="E14" s="1698"/>
      <c r="F14" s="1698"/>
      <c r="G14" s="1698"/>
      <c r="H14" s="1698"/>
      <c r="I14" s="1698"/>
      <c r="J14" s="1698"/>
      <c r="K14" s="1698"/>
      <c r="L14" s="1698"/>
      <c r="M14" s="1699"/>
    </row>
    <row r="15" spans="1:19" ht="9.75" customHeight="1" x14ac:dyDescent="0.2">
      <c r="A15" s="780"/>
      <c r="B15" s="781"/>
      <c r="C15" s="775"/>
      <c r="D15" s="775"/>
      <c r="E15" s="775"/>
      <c r="F15" s="775"/>
      <c r="G15" s="775"/>
      <c r="H15" s="775"/>
      <c r="I15" s="775"/>
      <c r="J15" s="775"/>
    </row>
    <row r="16" spans="1:19" x14ac:dyDescent="0.2">
      <c r="A16" s="776" t="s">
        <v>521</v>
      </c>
      <c r="B16" s="777" t="s">
        <v>1038</v>
      </c>
      <c r="C16" s="1700" t="s">
        <v>1121</v>
      </c>
      <c r="D16" s="1701"/>
      <c r="E16" s="1701"/>
      <c r="F16" s="1701"/>
      <c r="G16" s="1701"/>
      <c r="H16" s="1701"/>
      <c r="I16" s="1701"/>
      <c r="J16" s="1701"/>
      <c r="K16" s="1701"/>
      <c r="L16" s="1701"/>
      <c r="M16" s="1702"/>
    </row>
    <row r="17" spans="1:15" ht="9.75" customHeight="1" x14ac:dyDescent="0.2">
      <c r="A17" s="776"/>
      <c r="B17" s="778"/>
      <c r="C17" s="778"/>
      <c r="D17" s="775"/>
      <c r="E17" s="775"/>
      <c r="F17" s="775"/>
      <c r="G17" s="775"/>
      <c r="H17" s="775"/>
      <c r="I17" s="775"/>
      <c r="J17" s="775"/>
    </row>
    <row r="18" spans="1:15" ht="27" customHeight="1" x14ac:dyDescent="0.2">
      <c r="A18" s="776" t="s">
        <v>522</v>
      </c>
      <c r="B18" s="777" t="s">
        <v>1038</v>
      </c>
      <c r="C18" s="1691" t="s">
        <v>1122</v>
      </c>
      <c r="D18" s="1692"/>
      <c r="E18" s="1692"/>
      <c r="F18" s="1692"/>
      <c r="G18" s="1692"/>
      <c r="H18" s="1692"/>
      <c r="I18" s="1692"/>
      <c r="J18" s="1692"/>
      <c r="K18" s="1692"/>
      <c r="L18" s="1692"/>
      <c r="M18" s="1693"/>
    </row>
    <row r="19" spans="1:15" x14ac:dyDescent="0.2">
      <c r="A19" s="776"/>
      <c r="B19" s="778"/>
      <c r="C19" s="1707" t="s">
        <v>1123</v>
      </c>
      <c r="D19" s="1708"/>
      <c r="E19" s="1708"/>
      <c r="F19" s="1708"/>
      <c r="G19" s="1708"/>
      <c r="H19" s="1708"/>
      <c r="I19" s="1708"/>
      <c r="J19" s="1708"/>
      <c r="K19" s="1708"/>
      <c r="L19" s="1708"/>
      <c r="M19" s="1709"/>
    </row>
    <row r="20" spans="1:15" ht="25.5" customHeight="1" x14ac:dyDescent="0.2">
      <c r="A20" s="776"/>
      <c r="B20" s="778"/>
      <c r="C20" s="1710" t="s">
        <v>1124</v>
      </c>
      <c r="D20" s="1711"/>
      <c r="E20" s="1711"/>
      <c r="F20" s="1711"/>
      <c r="G20" s="1711"/>
      <c r="H20" s="1711"/>
      <c r="I20" s="1711"/>
      <c r="J20" s="1711"/>
      <c r="K20" s="1711"/>
      <c r="L20" s="1711"/>
      <c r="M20" s="1712"/>
    </row>
    <row r="21" spans="1:15" ht="9.75" customHeight="1" x14ac:dyDescent="0.2">
      <c r="A21" s="780"/>
      <c r="B21" s="781"/>
      <c r="C21" s="775"/>
      <c r="D21" s="775"/>
      <c r="E21" s="775"/>
      <c r="F21" s="775"/>
      <c r="G21" s="775"/>
      <c r="H21" s="775"/>
      <c r="I21" s="775"/>
      <c r="J21" s="775"/>
    </row>
    <row r="22" spans="1:15" ht="67.5" customHeight="1" x14ac:dyDescent="0.2">
      <c r="A22" s="776" t="s">
        <v>523</v>
      </c>
      <c r="B22" s="777" t="s">
        <v>1038</v>
      </c>
      <c r="C22" s="1700" t="s">
        <v>1413</v>
      </c>
      <c r="D22" s="1701"/>
      <c r="E22" s="1701"/>
      <c r="F22" s="1701"/>
      <c r="G22" s="1701"/>
      <c r="H22" s="1701"/>
      <c r="I22" s="1701"/>
      <c r="J22" s="1701"/>
      <c r="K22" s="1701"/>
      <c r="L22" s="1701"/>
      <c r="M22" s="1702"/>
    </row>
    <row r="23" spans="1:15" ht="9.75" customHeight="1" x14ac:dyDescent="0.2">
      <c r="A23" s="780"/>
      <c r="B23" s="781"/>
      <c r="C23" s="775"/>
      <c r="D23" s="775"/>
      <c r="E23" s="775"/>
      <c r="F23" s="775"/>
      <c r="G23" s="775"/>
      <c r="H23" s="775"/>
      <c r="I23" s="775"/>
      <c r="J23" s="775"/>
    </row>
    <row r="24" spans="1:15" ht="26.25" customHeight="1" x14ac:dyDescent="0.2">
      <c r="A24" s="780" t="s">
        <v>524</v>
      </c>
      <c r="B24" s="777" t="s">
        <v>1038</v>
      </c>
      <c r="C24" s="1700" t="s">
        <v>1243</v>
      </c>
      <c r="D24" s="1701"/>
      <c r="E24" s="1701"/>
      <c r="F24" s="1701"/>
      <c r="G24" s="1701"/>
      <c r="H24" s="1701"/>
      <c r="I24" s="1701"/>
      <c r="J24" s="1701"/>
      <c r="K24" s="1701"/>
      <c r="L24" s="1701"/>
      <c r="M24" s="1702"/>
    </row>
    <row r="25" spans="1:15" ht="9.75" customHeight="1" x14ac:dyDescent="0.2">
      <c r="A25" s="780"/>
      <c r="B25" s="781"/>
      <c r="C25" s="775"/>
      <c r="D25" s="775"/>
      <c r="E25" s="775"/>
      <c r="F25" s="775"/>
      <c r="G25" s="775"/>
      <c r="H25" s="775"/>
      <c r="I25" s="775"/>
      <c r="J25" s="775"/>
    </row>
    <row r="26" spans="1:15" ht="28.5" customHeight="1" x14ac:dyDescent="0.2">
      <c r="A26" s="782" t="s">
        <v>525</v>
      </c>
      <c r="B26" s="777" t="s">
        <v>1038</v>
      </c>
      <c r="C26" s="1713" t="s">
        <v>1125</v>
      </c>
      <c r="D26" s="1714"/>
      <c r="E26" s="1714"/>
      <c r="F26" s="1714"/>
      <c r="G26" s="1714"/>
      <c r="H26" s="1714"/>
      <c r="I26" s="1714"/>
      <c r="J26" s="1714"/>
      <c r="K26" s="1714"/>
      <c r="L26" s="1714"/>
      <c r="M26" s="1715"/>
    </row>
    <row r="27" spans="1:15" ht="41.25" customHeight="1" x14ac:dyDescent="0.2">
      <c r="A27" s="783"/>
      <c r="C27" s="1703" t="s">
        <v>1126</v>
      </c>
      <c r="D27" s="1704"/>
      <c r="E27" s="1704"/>
      <c r="F27" s="1704"/>
      <c r="G27" s="1704"/>
      <c r="H27" s="1704"/>
      <c r="I27" s="1704"/>
      <c r="J27" s="1704"/>
      <c r="K27" s="1704"/>
      <c r="L27" s="1704"/>
      <c r="M27" s="1705"/>
    </row>
    <row r="28" spans="1:15" ht="5.25" customHeight="1" x14ac:dyDescent="0.2">
      <c r="H28" s="775"/>
      <c r="I28" s="775"/>
      <c r="J28" s="775"/>
      <c r="K28" s="1706"/>
      <c r="L28" s="1706"/>
      <c r="M28" s="1706"/>
      <c r="N28" s="1706"/>
      <c r="O28" s="1706"/>
    </row>
    <row r="29" spans="1:15" ht="12.75" customHeight="1" x14ac:dyDescent="0.2">
      <c r="B29" s="784" t="s">
        <v>239</v>
      </c>
      <c r="H29" s="775"/>
      <c r="I29" s="785" t="s">
        <v>1127</v>
      </c>
      <c r="J29" s="785"/>
      <c r="K29" s="1706"/>
      <c r="L29" s="1706"/>
      <c r="M29" s="1706"/>
      <c r="N29" s="1706"/>
      <c r="O29" s="1706"/>
    </row>
    <row r="30" spans="1:15" ht="6.75" customHeight="1" x14ac:dyDescent="0.2">
      <c r="H30" s="775"/>
      <c r="I30" s="775"/>
      <c r="J30" s="775"/>
    </row>
    <row r="31" spans="1:15" ht="18.75" customHeight="1" x14ac:dyDescent="0.2">
      <c r="A31" s="824"/>
      <c r="B31" s="786" t="s">
        <v>240</v>
      </c>
      <c r="C31" s="1679"/>
      <c r="D31" s="1680"/>
      <c r="E31" s="1680"/>
      <c r="F31" s="1680"/>
      <c r="G31" s="1680"/>
      <c r="H31" s="775"/>
      <c r="I31" s="787"/>
      <c r="J31" s="788"/>
      <c r="L31" s="1681" t="s">
        <v>1128</v>
      </c>
      <c r="M31" s="1681"/>
      <c r="N31" s="1681"/>
      <c r="O31" s="1681"/>
    </row>
    <row r="32" spans="1:15" ht="18.75" customHeight="1" x14ac:dyDescent="0.2">
      <c r="A32" s="824"/>
      <c r="B32" s="786" t="s">
        <v>241</v>
      </c>
      <c r="C32" s="1679"/>
      <c r="D32" s="1680"/>
      <c r="E32" s="1680"/>
      <c r="F32" s="1680"/>
      <c r="G32" s="1680"/>
      <c r="H32" s="775"/>
      <c r="I32" s="775"/>
      <c r="J32" s="775"/>
      <c r="L32" s="1681"/>
      <c r="M32" s="1681"/>
      <c r="N32" s="1681"/>
      <c r="O32" s="1681"/>
    </row>
    <row r="33" spans="1:15" s="656" customFormat="1" ht="6.75" customHeight="1" x14ac:dyDescent="0.2">
      <c r="B33" s="789"/>
      <c r="H33" s="775"/>
      <c r="I33" s="775"/>
      <c r="J33" s="775"/>
      <c r="L33" s="790"/>
      <c r="M33" s="791"/>
      <c r="N33" s="791"/>
      <c r="O33" s="791"/>
    </row>
    <row r="34" spans="1:15" s="656" customFormat="1" ht="23.25" customHeight="1" x14ac:dyDescent="0.2">
      <c r="A34" s="824"/>
      <c r="B34" s="786" t="s">
        <v>240</v>
      </c>
      <c r="C34" s="1679"/>
      <c r="D34" s="1680"/>
      <c r="E34" s="1680"/>
      <c r="F34" s="1680"/>
      <c r="G34" s="1680"/>
      <c r="H34" s="775"/>
      <c r="I34" s="787"/>
      <c r="J34" s="788"/>
      <c r="K34" s="771"/>
      <c r="L34" s="1681" t="s">
        <v>1128</v>
      </c>
      <c r="M34" s="1681"/>
      <c r="N34" s="1681"/>
      <c r="O34" s="1681"/>
    </row>
    <row r="35" spans="1:15" s="656" customFormat="1" ht="23.25" customHeight="1" x14ac:dyDescent="0.2">
      <c r="A35" s="824"/>
      <c r="B35" s="786" t="s">
        <v>241</v>
      </c>
      <c r="C35" s="1679"/>
      <c r="D35" s="1680"/>
      <c r="E35" s="1680"/>
      <c r="F35" s="1680"/>
      <c r="G35" s="1680"/>
      <c r="H35" s="775"/>
      <c r="I35" s="775"/>
      <c r="J35" s="775"/>
      <c r="K35" s="771"/>
      <c r="L35" s="1681"/>
      <c r="M35" s="1681"/>
      <c r="N35" s="1681"/>
      <c r="O35" s="1681"/>
    </row>
    <row r="36" spans="1:15" s="656" customFormat="1" ht="6.75" customHeight="1" x14ac:dyDescent="0.2">
      <c r="B36" s="789"/>
      <c r="H36" s="775"/>
      <c r="I36" s="775"/>
      <c r="J36" s="775"/>
      <c r="L36" s="790"/>
      <c r="M36" s="791"/>
      <c r="N36" s="791"/>
      <c r="O36" s="791"/>
    </row>
    <row r="37" spans="1:15" s="656" customFormat="1" ht="20.25" customHeight="1" x14ac:dyDescent="0.2">
      <c r="A37" s="824"/>
      <c r="B37" s="786" t="s">
        <v>240</v>
      </c>
      <c r="C37" s="1679"/>
      <c r="D37" s="1680"/>
      <c r="E37" s="1680"/>
      <c r="F37" s="1680"/>
      <c r="G37" s="1680"/>
      <c r="H37" s="775"/>
      <c r="I37" s="787"/>
      <c r="J37" s="788"/>
      <c r="K37" s="771"/>
      <c r="L37" s="1681" t="s">
        <v>1128</v>
      </c>
      <c r="M37" s="1681"/>
      <c r="N37" s="1681"/>
      <c r="O37" s="1681"/>
    </row>
    <row r="38" spans="1:15" s="656" customFormat="1" ht="20.25" customHeight="1" x14ac:dyDescent="0.2">
      <c r="A38" s="824"/>
      <c r="B38" s="786" t="s">
        <v>241</v>
      </c>
      <c r="C38" s="1679"/>
      <c r="D38" s="1680"/>
      <c r="E38" s="1680"/>
      <c r="F38" s="1680"/>
      <c r="G38" s="1680"/>
      <c r="H38" s="775"/>
      <c r="I38" s="775"/>
      <c r="J38" s="775"/>
      <c r="K38" s="771"/>
      <c r="L38" s="1681"/>
      <c r="M38" s="1681"/>
      <c r="N38" s="1681"/>
      <c r="O38" s="1681"/>
    </row>
    <row r="39" spans="1:15" s="656" customFormat="1" ht="6.75" customHeight="1" x14ac:dyDescent="0.2">
      <c r="A39" s="771"/>
      <c r="B39" s="771"/>
      <c r="C39" s="771"/>
      <c r="D39" s="771"/>
      <c r="E39" s="771"/>
      <c r="F39" s="771"/>
      <c r="G39" s="771"/>
      <c r="H39" s="775"/>
      <c r="I39" s="775"/>
      <c r="J39" s="775"/>
      <c r="L39" s="790"/>
      <c r="M39" s="791"/>
      <c r="N39" s="791"/>
      <c r="O39" s="791"/>
    </row>
    <row r="40" spans="1:15" s="656" customFormat="1" ht="21" customHeight="1" x14ac:dyDescent="0.2">
      <c r="A40" s="824"/>
      <c r="B40" s="786" t="s">
        <v>240</v>
      </c>
      <c r="C40" s="1679"/>
      <c r="D40" s="1680"/>
      <c r="E40" s="1680"/>
      <c r="F40" s="1680"/>
      <c r="G40" s="1680"/>
      <c r="H40" s="775"/>
      <c r="I40" s="787"/>
      <c r="J40" s="788"/>
      <c r="K40" s="771"/>
      <c r="L40" s="1681" t="s">
        <v>1128</v>
      </c>
      <c r="M40" s="1681"/>
      <c r="N40" s="1681"/>
      <c r="O40" s="1681"/>
    </row>
    <row r="41" spans="1:15" ht="21" customHeight="1" x14ac:dyDescent="0.2">
      <c r="A41" s="824"/>
      <c r="B41" s="786" t="s">
        <v>241</v>
      </c>
      <c r="C41" s="1679"/>
      <c r="D41" s="1680"/>
      <c r="E41" s="1680"/>
      <c r="F41" s="1680"/>
      <c r="G41" s="1680"/>
      <c r="H41" s="775"/>
      <c r="I41" s="775"/>
      <c r="J41" s="775"/>
      <c r="L41" s="1681"/>
      <c r="M41" s="1681"/>
      <c r="N41" s="1681"/>
      <c r="O41" s="1681"/>
    </row>
    <row r="42" spans="1:15" s="656" customFormat="1" ht="6.75" customHeight="1" x14ac:dyDescent="0.2">
      <c r="A42" s="771"/>
      <c r="B42" s="771"/>
      <c r="C42" s="771"/>
      <c r="D42" s="771"/>
      <c r="E42" s="771"/>
      <c r="F42" s="771"/>
      <c r="G42" s="771"/>
      <c r="H42" s="775"/>
      <c r="I42" s="775"/>
      <c r="J42" s="775"/>
      <c r="L42" s="790"/>
      <c r="M42" s="791"/>
      <c r="N42" s="791"/>
      <c r="O42" s="791"/>
    </row>
    <row r="43" spans="1:15" s="656" customFormat="1" ht="18" customHeight="1" x14ac:dyDescent="0.2">
      <c r="A43" s="824"/>
      <c r="B43" s="786" t="s">
        <v>240</v>
      </c>
      <c r="C43" s="1679"/>
      <c r="D43" s="1680"/>
      <c r="E43" s="1680"/>
      <c r="F43" s="1680"/>
      <c r="G43" s="1680"/>
      <c r="H43" s="775"/>
      <c r="I43" s="787"/>
      <c r="J43" s="788"/>
      <c r="K43" s="771"/>
      <c r="L43" s="1681" t="s">
        <v>1128</v>
      </c>
      <c r="M43" s="1681"/>
      <c r="N43" s="1681"/>
      <c r="O43" s="1681"/>
    </row>
    <row r="44" spans="1:15" ht="18" customHeight="1" x14ac:dyDescent="0.2">
      <c r="A44" s="824"/>
      <c r="B44" s="786" t="s">
        <v>241</v>
      </c>
      <c r="C44" s="1679"/>
      <c r="D44" s="1680"/>
      <c r="E44" s="1680"/>
      <c r="F44" s="1680"/>
      <c r="G44" s="1680"/>
      <c r="H44" s="775"/>
      <c r="I44" s="775"/>
      <c r="J44" s="775"/>
      <c r="L44" s="1681"/>
      <c r="M44" s="1681"/>
      <c r="N44" s="1681"/>
      <c r="O44" s="1681"/>
    </row>
    <row r="45" spans="1:15" s="656" customFormat="1" ht="6.75" customHeight="1" x14ac:dyDescent="0.2">
      <c r="A45" s="771"/>
      <c r="B45" s="771"/>
      <c r="C45" s="771"/>
      <c r="D45" s="771"/>
      <c r="E45" s="771"/>
      <c r="F45" s="771"/>
      <c r="G45" s="771"/>
      <c r="H45" s="775"/>
      <c r="I45" s="775"/>
      <c r="J45" s="775"/>
      <c r="L45" s="790"/>
      <c r="M45" s="791"/>
      <c r="N45" s="791"/>
      <c r="O45" s="791"/>
    </row>
    <row r="46" spans="1:15" s="656" customFormat="1" ht="19.5" customHeight="1" x14ac:dyDescent="0.2">
      <c r="A46" s="824"/>
      <c r="B46" s="786" t="s">
        <v>240</v>
      </c>
      <c r="C46" s="1679"/>
      <c r="D46" s="1680"/>
      <c r="E46" s="1680"/>
      <c r="F46" s="1680"/>
      <c r="G46" s="1680"/>
      <c r="H46" s="775"/>
      <c r="I46" s="787"/>
      <c r="J46" s="788"/>
      <c r="K46" s="771"/>
      <c r="L46" s="1681" t="s">
        <v>1128</v>
      </c>
      <c r="M46" s="1681"/>
      <c r="N46" s="1681"/>
      <c r="O46" s="1681"/>
    </row>
    <row r="47" spans="1:15" ht="19.5" customHeight="1" x14ac:dyDescent="0.2">
      <c r="A47" s="824"/>
      <c r="B47" s="786" t="s">
        <v>241</v>
      </c>
      <c r="C47" s="1679"/>
      <c r="D47" s="1680"/>
      <c r="E47" s="1680"/>
      <c r="F47" s="1680"/>
      <c r="G47" s="1680"/>
      <c r="H47" s="775"/>
      <c r="I47" s="775"/>
      <c r="J47" s="775"/>
      <c r="L47" s="1681"/>
      <c r="M47" s="1681"/>
      <c r="N47" s="1681"/>
      <c r="O47" s="1681"/>
    </row>
    <row r="48" spans="1:15" s="656" customFormat="1" ht="6.75" customHeight="1" x14ac:dyDescent="0.2">
      <c r="A48" s="771"/>
      <c r="B48" s="771"/>
      <c r="C48" s="771"/>
      <c r="D48" s="771"/>
      <c r="E48" s="771"/>
      <c r="F48" s="771"/>
      <c r="G48" s="771"/>
      <c r="H48" s="775"/>
      <c r="I48" s="775"/>
      <c r="J48" s="775"/>
      <c r="L48" s="790"/>
      <c r="M48" s="791"/>
      <c r="N48" s="791"/>
      <c r="O48" s="791"/>
    </row>
    <row r="49" spans="1:15" s="656" customFormat="1" ht="20.25" customHeight="1" x14ac:dyDescent="0.2">
      <c r="A49" s="824"/>
      <c r="B49" s="786" t="s">
        <v>240</v>
      </c>
      <c r="C49" s="1679"/>
      <c r="D49" s="1680"/>
      <c r="E49" s="1680"/>
      <c r="F49" s="1680"/>
      <c r="G49" s="1680"/>
      <c r="H49" s="775"/>
      <c r="I49" s="787"/>
      <c r="J49" s="788"/>
      <c r="K49" s="771"/>
      <c r="L49" s="1681" t="s">
        <v>1128</v>
      </c>
      <c r="M49" s="1681"/>
      <c r="N49" s="1681"/>
      <c r="O49" s="1681"/>
    </row>
    <row r="50" spans="1:15" ht="20.25" customHeight="1" x14ac:dyDescent="0.2">
      <c r="A50" s="824"/>
      <c r="B50" s="786" t="s">
        <v>241</v>
      </c>
      <c r="C50" s="1679"/>
      <c r="D50" s="1680"/>
      <c r="E50" s="1680"/>
      <c r="F50" s="1680"/>
      <c r="G50" s="1680"/>
      <c r="H50" s="775"/>
      <c r="I50" s="775"/>
      <c r="J50" s="775"/>
      <c r="L50" s="1681"/>
      <c r="M50" s="1681"/>
      <c r="N50" s="1681"/>
      <c r="O50" s="1681"/>
    </row>
    <row r="51" spans="1:15" s="656" customFormat="1" ht="6.75" customHeight="1" x14ac:dyDescent="0.2">
      <c r="A51" s="771"/>
      <c r="B51" s="771"/>
      <c r="C51" s="771"/>
      <c r="D51" s="771"/>
      <c r="E51" s="771"/>
      <c r="F51" s="771"/>
      <c r="G51" s="771"/>
      <c r="H51" s="775"/>
      <c r="I51" s="775"/>
      <c r="J51" s="775"/>
      <c r="L51" s="790"/>
      <c r="M51" s="791"/>
      <c r="N51" s="791"/>
      <c r="O51" s="791"/>
    </row>
    <row r="52" spans="1:15" s="656" customFormat="1" ht="21" customHeight="1" x14ac:dyDescent="0.2">
      <c r="A52" s="824"/>
      <c r="B52" s="786" t="s">
        <v>240</v>
      </c>
      <c r="C52" s="1679"/>
      <c r="D52" s="1680"/>
      <c r="E52" s="1680"/>
      <c r="F52" s="1680"/>
      <c r="G52" s="1680"/>
      <c r="H52" s="775"/>
      <c r="I52" s="787"/>
      <c r="J52" s="788"/>
      <c r="K52" s="771"/>
      <c r="L52" s="1681" t="s">
        <v>1128</v>
      </c>
      <c r="M52" s="1681"/>
      <c r="N52" s="1681"/>
      <c r="O52" s="1681"/>
    </row>
    <row r="53" spans="1:15" ht="21" customHeight="1" x14ac:dyDescent="0.2">
      <c r="A53" s="824"/>
      <c r="B53" s="786" t="s">
        <v>241</v>
      </c>
      <c r="C53" s="1679"/>
      <c r="D53" s="1680"/>
      <c r="E53" s="1680"/>
      <c r="F53" s="1680"/>
      <c r="G53" s="1680"/>
      <c r="H53" s="775"/>
      <c r="I53" s="775"/>
      <c r="J53" s="775"/>
      <c r="L53" s="1681"/>
      <c r="M53" s="1681"/>
      <c r="N53" s="1681"/>
      <c r="O53" s="1681"/>
    </row>
    <row r="54" spans="1:15" s="656" customFormat="1" ht="12.6" customHeight="1" x14ac:dyDescent="0.2">
      <c r="A54" s="771"/>
      <c r="B54" s="771"/>
      <c r="C54" s="771"/>
      <c r="D54" s="771"/>
      <c r="E54" s="771"/>
      <c r="F54" s="771"/>
      <c r="G54" s="771"/>
      <c r="H54" s="775"/>
      <c r="I54" s="775"/>
      <c r="J54" s="775"/>
      <c r="L54" s="790"/>
      <c r="M54" s="791"/>
      <c r="N54" s="791"/>
      <c r="O54" s="791"/>
    </row>
    <row r="55" spans="1:15" s="656" customFormat="1" ht="13.5" customHeight="1" x14ac:dyDescent="0.2">
      <c r="A55" s="771"/>
      <c r="B55" s="784" t="s">
        <v>242</v>
      </c>
      <c r="C55" s="771"/>
      <c r="D55" s="771"/>
      <c r="E55" s="771"/>
      <c r="F55" s="771"/>
      <c r="G55" s="771"/>
      <c r="H55" s="775"/>
      <c r="I55" s="785" t="s">
        <v>1127</v>
      </c>
      <c r="J55" s="785"/>
      <c r="L55" s="790"/>
      <c r="M55" s="791"/>
      <c r="N55" s="791"/>
      <c r="O55" s="791"/>
    </row>
    <row r="56" spans="1:15" ht="3.75" customHeight="1" x14ac:dyDescent="0.2">
      <c r="H56" s="775"/>
      <c r="I56" s="775"/>
      <c r="J56" s="775"/>
      <c r="L56" s="792"/>
      <c r="M56" s="792"/>
      <c r="N56" s="792"/>
      <c r="O56" s="792"/>
    </row>
    <row r="57" spans="1:15" ht="22.5" customHeight="1" x14ac:dyDescent="0.2">
      <c r="A57" s="824"/>
      <c r="B57" s="786" t="s">
        <v>240</v>
      </c>
      <c r="C57" s="1679"/>
      <c r="D57" s="1680"/>
      <c r="E57" s="1680"/>
      <c r="F57" s="1680"/>
      <c r="G57" s="1680"/>
      <c r="H57" s="775"/>
      <c r="I57" s="787"/>
      <c r="J57" s="788"/>
      <c r="L57" s="1681" t="s">
        <v>1129</v>
      </c>
      <c r="M57" s="1681"/>
      <c r="N57" s="1681"/>
      <c r="O57" s="1681"/>
    </row>
    <row r="58" spans="1:15" ht="22.5" customHeight="1" x14ac:dyDescent="0.2">
      <c r="A58" s="824"/>
      <c r="B58" s="786" t="s">
        <v>241</v>
      </c>
      <c r="C58" s="1679"/>
      <c r="D58" s="1680"/>
      <c r="E58" s="1680"/>
      <c r="F58" s="1680"/>
      <c r="G58" s="1680"/>
      <c r="H58" s="775"/>
      <c r="I58" s="775"/>
      <c r="J58" s="775"/>
      <c r="L58" s="1681"/>
      <c r="M58" s="1681"/>
      <c r="N58" s="1681"/>
      <c r="O58" s="1681"/>
    </row>
    <row r="59" spans="1:15" s="656" customFormat="1" ht="6.75" customHeight="1" x14ac:dyDescent="0.2">
      <c r="B59" s="789"/>
      <c r="H59" s="775"/>
      <c r="I59" s="775"/>
      <c r="J59" s="775"/>
      <c r="L59" s="790"/>
      <c r="M59" s="791"/>
      <c r="N59" s="791"/>
      <c r="O59" s="791"/>
    </row>
    <row r="60" spans="1:15" s="656" customFormat="1" ht="20.25" customHeight="1" x14ac:dyDescent="0.2">
      <c r="A60" s="824"/>
      <c r="B60" s="786" t="s">
        <v>240</v>
      </c>
      <c r="C60" s="1679"/>
      <c r="D60" s="1680"/>
      <c r="E60" s="1680"/>
      <c r="F60" s="1680"/>
      <c r="G60" s="1680"/>
      <c r="H60" s="775"/>
      <c r="I60" s="787"/>
      <c r="J60" s="788"/>
      <c r="K60" s="771"/>
      <c r="L60" s="1681" t="s">
        <v>1129</v>
      </c>
      <c r="M60" s="1681"/>
      <c r="N60" s="1681"/>
      <c r="O60" s="1681"/>
    </row>
    <row r="61" spans="1:15" s="656" customFormat="1" ht="21.75" customHeight="1" x14ac:dyDescent="0.2">
      <c r="A61" s="824"/>
      <c r="B61" s="786" t="s">
        <v>241</v>
      </c>
      <c r="C61" s="1679"/>
      <c r="D61" s="1680"/>
      <c r="E61" s="1680"/>
      <c r="F61" s="1680"/>
      <c r="G61" s="1680"/>
      <c r="H61" s="775"/>
      <c r="I61" s="775"/>
      <c r="J61" s="775"/>
      <c r="K61" s="771"/>
      <c r="L61" s="1681"/>
      <c r="M61" s="1681"/>
      <c r="N61" s="1681"/>
      <c r="O61" s="1681"/>
    </row>
    <row r="62" spans="1:15" s="656" customFormat="1" ht="6.75" customHeight="1" x14ac:dyDescent="0.2">
      <c r="B62" s="789"/>
      <c r="H62" s="775"/>
      <c r="I62" s="775"/>
      <c r="J62" s="775"/>
      <c r="L62" s="790"/>
      <c r="M62" s="791"/>
      <c r="N62" s="791"/>
      <c r="O62" s="791"/>
    </row>
    <row r="63" spans="1:15" s="656" customFormat="1" ht="24" customHeight="1" x14ac:dyDescent="0.2">
      <c r="A63" s="824"/>
      <c r="B63" s="786" t="s">
        <v>240</v>
      </c>
      <c r="C63" s="1679"/>
      <c r="D63" s="1680"/>
      <c r="E63" s="1680"/>
      <c r="F63" s="1680"/>
      <c r="G63" s="1680"/>
      <c r="H63" s="775"/>
      <c r="I63" s="787"/>
      <c r="J63" s="788"/>
      <c r="K63" s="771"/>
      <c r="L63" s="1681" t="s">
        <v>1129</v>
      </c>
      <c r="M63" s="1681"/>
      <c r="N63" s="1681"/>
      <c r="O63" s="1681"/>
    </row>
    <row r="64" spans="1:15" s="656" customFormat="1" ht="18" customHeight="1" x14ac:dyDescent="0.2">
      <c r="A64" s="824"/>
      <c r="B64" s="786" t="s">
        <v>241</v>
      </c>
      <c r="C64" s="1679"/>
      <c r="D64" s="1680"/>
      <c r="E64" s="1680"/>
      <c r="F64" s="1680"/>
      <c r="G64" s="1680"/>
      <c r="H64" s="775"/>
      <c r="I64" s="775"/>
      <c r="J64" s="775"/>
      <c r="K64" s="771"/>
      <c r="L64" s="1681"/>
      <c r="M64" s="1681"/>
      <c r="N64" s="1681"/>
      <c r="O64" s="1681"/>
    </row>
    <row r="65" spans="1:15" s="656" customFormat="1" ht="6.75" customHeight="1" x14ac:dyDescent="0.2">
      <c r="A65" s="771"/>
      <c r="B65" s="771"/>
      <c r="C65" s="771"/>
      <c r="D65" s="771"/>
      <c r="E65" s="771"/>
      <c r="F65" s="771"/>
      <c r="G65" s="771"/>
      <c r="H65" s="775"/>
      <c r="I65" s="775"/>
      <c r="J65" s="775"/>
      <c r="L65" s="790"/>
      <c r="M65" s="791"/>
      <c r="N65" s="791"/>
      <c r="O65" s="791"/>
    </row>
    <row r="66" spans="1:15" s="656" customFormat="1" ht="24" customHeight="1" x14ac:dyDescent="0.2">
      <c r="A66" s="824"/>
      <c r="B66" s="786" t="s">
        <v>240</v>
      </c>
      <c r="C66" s="1679"/>
      <c r="D66" s="1680"/>
      <c r="E66" s="1680"/>
      <c r="F66" s="1680"/>
      <c r="G66" s="1680"/>
      <c r="H66" s="775"/>
      <c r="I66" s="787"/>
      <c r="J66" s="788"/>
      <c r="K66" s="771"/>
      <c r="L66" s="1681" t="s">
        <v>1129</v>
      </c>
      <c r="M66" s="1681"/>
      <c r="N66" s="1681"/>
      <c r="O66" s="1681"/>
    </row>
    <row r="67" spans="1:15" ht="18.75" customHeight="1" x14ac:dyDescent="0.2">
      <c r="A67" s="824"/>
      <c r="B67" s="786" t="s">
        <v>241</v>
      </c>
      <c r="C67" s="1679"/>
      <c r="D67" s="1680"/>
      <c r="E67" s="1680"/>
      <c r="F67" s="1680"/>
      <c r="G67" s="1680"/>
      <c r="H67" s="775"/>
      <c r="I67" s="775"/>
      <c r="J67" s="775"/>
      <c r="L67" s="1681"/>
      <c r="M67" s="1681"/>
      <c r="N67" s="1681"/>
      <c r="O67" s="1681"/>
    </row>
    <row r="68" spans="1:15" ht="6.75" customHeight="1" x14ac:dyDescent="0.2">
      <c r="L68" s="792"/>
      <c r="M68" s="792"/>
      <c r="N68" s="792"/>
      <c r="O68" s="792"/>
    </row>
    <row r="69" spans="1:15" s="656" customFormat="1" ht="28.5" customHeight="1" x14ac:dyDescent="0.2">
      <c r="A69" s="824"/>
      <c r="B69" s="786" t="s">
        <v>240</v>
      </c>
      <c r="C69" s="1679"/>
      <c r="D69" s="1680"/>
      <c r="E69" s="1680"/>
      <c r="F69" s="1680"/>
      <c r="G69" s="1680"/>
      <c r="H69" s="775"/>
      <c r="I69" s="787"/>
      <c r="J69" s="788"/>
      <c r="K69" s="771"/>
      <c r="L69" s="1681" t="s">
        <v>1129</v>
      </c>
      <c r="M69" s="1681"/>
      <c r="N69" s="1681"/>
      <c r="O69" s="1681"/>
    </row>
    <row r="70" spans="1:15" ht="20.25" customHeight="1" x14ac:dyDescent="0.2">
      <c r="A70" s="824"/>
      <c r="B70" s="786" t="s">
        <v>241</v>
      </c>
      <c r="C70" s="1679"/>
      <c r="D70" s="1680"/>
      <c r="E70" s="1680"/>
      <c r="F70" s="1680"/>
      <c r="G70" s="1680"/>
      <c r="H70" s="775"/>
      <c r="I70" s="775"/>
      <c r="J70" s="775"/>
      <c r="L70" s="1681"/>
      <c r="M70" s="1681"/>
      <c r="N70" s="1681"/>
      <c r="O70" s="1681"/>
    </row>
    <row r="71" spans="1:15" ht="6.75" customHeight="1" x14ac:dyDescent="0.2">
      <c r="L71" s="792"/>
      <c r="M71" s="792"/>
      <c r="N71" s="792"/>
      <c r="O71" s="792"/>
    </row>
    <row r="72" spans="1:15" s="656" customFormat="1" ht="25.5" customHeight="1" x14ac:dyDescent="0.2">
      <c r="A72" s="824"/>
      <c r="B72" s="786" t="s">
        <v>240</v>
      </c>
      <c r="C72" s="1679"/>
      <c r="D72" s="1680"/>
      <c r="E72" s="1680"/>
      <c r="F72" s="1680"/>
      <c r="G72" s="1680"/>
      <c r="H72" s="775"/>
      <c r="I72" s="787"/>
      <c r="J72" s="788"/>
      <c r="K72" s="771"/>
      <c r="L72" s="1681" t="s">
        <v>1129</v>
      </c>
      <c r="M72" s="1681"/>
      <c r="N72" s="1681"/>
      <c r="O72" s="1681"/>
    </row>
    <row r="73" spans="1:15" ht="21" customHeight="1" x14ac:dyDescent="0.2">
      <c r="A73" s="824"/>
      <c r="B73" s="786" t="s">
        <v>241</v>
      </c>
      <c r="C73" s="1679"/>
      <c r="D73" s="1680"/>
      <c r="E73" s="1680"/>
      <c r="F73" s="1680"/>
      <c r="G73" s="1680"/>
      <c r="H73" s="775"/>
      <c r="I73" s="775"/>
      <c r="J73" s="775"/>
      <c r="L73" s="1681"/>
      <c r="M73" s="1681"/>
      <c r="N73" s="1681"/>
      <c r="O73" s="1681"/>
    </row>
    <row r="74" spans="1:15" x14ac:dyDescent="0.2">
      <c r="L74" s="792"/>
      <c r="M74" s="792"/>
      <c r="N74" s="792"/>
      <c r="O74" s="792"/>
    </row>
  </sheetData>
  <sheetProtection algorithmName="SHA-512" hashValue="55d+ST2xpUF+j1xGwPuSaQiGp/7Aay6HTBInWMWv6CTflQYxkeFD6A57AmOmQIvOCQ41tIinnSzQ/mBnhS9Omg==" saltValue="uXb4IlM8VdvEFiFw8HzSWg==" spinCount="100000" sheet="1" objects="1" scenarios="1"/>
  <mergeCells count="59">
    <mergeCell ref="C24:M24"/>
    <mergeCell ref="C19:M19"/>
    <mergeCell ref="C20:M20"/>
    <mergeCell ref="C22:M22"/>
    <mergeCell ref="C26:M26"/>
    <mergeCell ref="C27:M27"/>
    <mergeCell ref="K28:O29"/>
    <mergeCell ref="C31:G31"/>
    <mergeCell ref="L31:O32"/>
    <mergeCell ref="C34:G34"/>
    <mergeCell ref="L34:O35"/>
    <mergeCell ref="C32:G32"/>
    <mergeCell ref="C35:G35"/>
    <mergeCell ref="C12:M12"/>
    <mergeCell ref="C13:M13"/>
    <mergeCell ref="C14:M14"/>
    <mergeCell ref="C16:M16"/>
    <mergeCell ref="C18:M18"/>
    <mergeCell ref="C1:G1"/>
    <mergeCell ref="C2:G2"/>
    <mergeCell ref="A7:M7"/>
    <mergeCell ref="A8:M8"/>
    <mergeCell ref="C10:M10"/>
    <mergeCell ref="L37:O38"/>
    <mergeCell ref="C38:G38"/>
    <mergeCell ref="C40:G40"/>
    <mergeCell ref="L40:O41"/>
    <mergeCell ref="C43:G43"/>
    <mergeCell ref="L43:O44"/>
    <mergeCell ref="C41:G41"/>
    <mergeCell ref="C44:G44"/>
    <mergeCell ref="C37:G37"/>
    <mergeCell ref="L46:O47"/>
    <mergeCell ref="C49:G49"/>
    <mergeCell ref="L49:O50"/>
    <mergeCell ref="C52:G52"/>
    <mergeCell ref="L52:O53"/>
    <mergeCell ref="C53:G53"/>
    <mergeCell ref="C50:G50"/>
    <mergeCell ref="C47:G47"/>
    <mergeCell ref="C46:G46"/>
    <mergeCell ref="L57:O58"/>
    <mergeCell ref="C58:G58"/>
    <mergeCell ref="C60:G60"/>
    <mergeCell ref="L60:O61"/>
    <mergeCell ref="C61:G61"/>
    <mergeCell ref="C57:G57"/>
    <mergeCell ref="C63:G63"/>
    <mergeCell ref="L63:O64"/>
    <mergeCell ref="C64:G64"/>
    <mergeCell ref="C72:G72"/>
    <mergeCell ref="L72:O73"/>
    <mergeCell ref="C73:G73"/>
    <mergeCell ref="C66:G66"/>
    <mergeCell ref="L66:O67"/>
    <mergeCell ref="C67:G67"/>
    <mergeCell ref="C69:G69"/>
    <mergeCell ref="L69:O70"/>
    <mergeCell ref="C70:G70"/>
  </mergeCells>
  <phoneticPr fontId="12" type="noConversion"/>
  <conditionalFormatting sqref="B10 B12 B16 B18 B22">
    <cfRule type="cellIs" dxfId="12" priority="10" operator="equal">
      <formula>"Error"</formula>
    </cfRule>
  </conditionalFormatting>
  <conditionalFormatting sqref="B10">
    <cfRule type="cellIs" dxfId="11" priority="8" operator="equal">
      <formula>"Answer Required"</formula>
    </cfRule>
  </conditionalFormatting>
  <conditionalFormatting sqref="B12">
    <cfRule type="cellIs" dxfId="10" priority="7" operator="equal">
      <formula>"Answer Required"</formula>
    </cfRule>
  </conditionalFormatting>
  <conditionalFormatting sqref="B16">
    <cfRule type="cellIs" dxfId="9" priority="6" operator="equal">
      <formula>"Answer Required"</formula>
    </cfRule>
  </conditionalFormatting>
  <conditionalFormatting sqref="B18">
    <cfRule type="cellIs" dxfId="8" priority="5" operator="equal">
      <formula>"Answer Required"</formula>
    </cfRule>
  </conditionalFormatting>
  <conditionalFormatting sqref="B22">
    <cfRule type="cellIs" dxfId="7" priority="4" operator="equal">
      <formula>"Answer Required"</formula>
    </cfRule>
  </conditionalFormatting>
  <conditionalFormatting sqref="B24">
    <cfRule type="cellIs" dxfId="6" priority="1" operator="equal">
      <formula>"Answer Required"</formula>
    </cfRule>
    <cfRule type="cellIs" dxfId="5" priority="2" operator="equal">
      <formula>"Error"</formula>
    </cfRule>
  </conditionalFormatting>
  <conditionalFormatting sqref="B26">
    <cfRule type="cellIs" dxfId="4" priority="3" operator="equal">
      <formula>"Answer Required"</formula>
    </cfRule>
    <cfRule type="cellIs" dxfId="3" priority="9" operator="equal">
      <formula>"Error"</formula>
    </cfRule>
  </conditionalFormatting>
  <dataValidations count="2">
    <dataValidation type="list" allowBlank="1" showInputMessage="1" showErrorMessage="1" error="Please use the drop-down to select Yes or No." sqref="B26 B10 B12 B16 B24 B22" xr:uid="{00000000-0002-0000-1D00-000000000000}">
      <formula1>$R$8:$R$9</formula1>
    </dataValidation>
    <dataValidation type="list" allowBlank="1" showInputMessage="1" showErrorMessage="1" error="Please use the drop-down to select Yes, No, or N/A." sqref="B18" xr:uid="{8C581A0D-AE93-4F93-BE8E-899C32252246}">
      <formula1>$S$8:$S$10</formula1>
    </dataValidation>
  </dataValidations>
  <pageMargins left="0.7" right="0.7" top="1" bottom="0.75" header="0.3" footer="0.3"/>
  <pageSetup scale="59" fitToHeight="0" orientation="portrait" cellComments="asDisplayed" r:id="rId1"/>
  <headerFooter alignWithMargins="0">
    <oddHeader>&amp;C&amp;"Arial,Bold"&amp;11Attachment HE-10
Financial Statement Template
&amp;A</oddHeader>
    <oddFooter>&amp;L&amp;"Arial,Regular"&amp;F \ &amp;A&amp;R&amp;"Arial,Regular"Page &amp;P</oddFooter>
  </headerFooter>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10</xdr:col>
                    <xdr:colOff>9525</xdr:colOff>
                    <xdr:row>30</xdr:row>
                    <xdr:rowOff>19050</xdr:rowOff>
                  </from>
                  <to>
                    <xdr:col>10</xdr:col>
                    <xdr:colOff>314325</xdr:colOff>
                    <xdr:row>30</xdr:row>
                    <xdr:rowOff>190500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10</xdr:col>
                    <xdr:colOff>9525</xdr:colOff>
                    <xdr:row>33</xdr:row>
                    <xdr:rowOff>19050</xdr:rowOff>
                  </from>
                  <to>
                    <xdr:col>10</xdr:col>
                    <xdr:colOff>314325</xdr:colOff>
                    <xdr:row>33</xdr:row>
                    <xdr:rowOff>161925</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10</xdr:col>
                    <xdr:colOff>9525</xdr:colOff>
                    <xdr:row>36</xdr:row>
                    <xdr:rowOff>19050</xdr:rowOff>
                  </from>
                  <to>
                    <xdr:col>10</xdr:col>
                    <xdr:colOff>314325</xdr:colOff>
                    <xdr:row>36</xdr:row>
                    <xdr:rowOff>180975</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10</xdr:col>
                    <xdr:colOff>9525</xdr:colOff>
                    <xdr:row>39</xdr:row>
                    <xdr:rowOff>19050</xdr:rowOff>
                  </from>
                  <to>
                    <xdr:col>10</xdr:col>
                    <xdr:colOff>314325</xdr:colOff>
                    <xdr:row>39</xdr:row>
                    <xdr:rowOff>171450</xdr:rowOff>
                  </to>
                </anchor>
              </controlPr>
            </control>
          </mc:Choice>
        </mc:AlternateContent>
        <mc:AlternateContent xmlns:mc="http://schemas.openxmlformats.org/markup-compatibility/2006">
          <mc:Choice Requires="x14">
            <control shapeId="96261" r:id="rId8" name="Check Box 5">
              <controlPr defaultSize="0" autoFill="0" autoLine="0" autoPict="0">
                <anchor moveWithCells="1">
                  <from>
                    <xdr:col>10</xdr:col>
                    <xdr:colOff>9525</xdr:colOff>
                    <xdr:row>56</xdr:row>
                    <xdr:rowOff>19050</xdr:rowOff>
                  </from>
                  <to>
                    <xdr:col>10</xdr:col>
                    <xdr:colOff>314325</xdr:colOff>
                    <xdr:row>56</xdr:row>
                    <xdr:rowOff>171450</xdr:rowOff>
                  </to>
                </anchor>
              </controlPr>
            </control>
          </mc:Choice>
        </mc:AlternateContent>
        <mc:AlternateContent xmlns:mc="http://schemas.openxmlformats.org/markup-compatibility/2006">
          <mc:Choice Requires="x14">
            <control shapeId="96262" r:id="rId9" name="Check Box 6">
              <controlPr defaultSize="0" autoFill="0" autoLine="0" autoPict="0">
                <anchor moveWithCells="1">
                  <from>
                    <xdr:col>10</xdr:col>
                    <xdr:colOff>9525</xdr:colOff>
                    <xdr:row>59</xdr:row>
                    <xdr:rowOff>19050</xdr:rowOff>
                  </from>
                  <to>
                    <xdr:col>10</xdr:col>
                    <xdr:colOff>314325</xdr:colOff>
                    <xdr:row>59</xdr:row>
                    <xdr:rowOff>180975</xdr:rowOff>
                  </to>
                </anchor>
              </controlPr>
            </control>
          </mc:Choice>
        </mc:AlternateContent>
        <mc:AlternateContent xmlns:mc="http://schemas.openxmlformats.org/markup-compatibility/2006">
          <mc:Choice Requires="x14">
            <control shapeId="96263" r:id="rId10" name="Check Box 7">
              <controlPr defaultSize="0" autoFill="0" autoLine="0" autoPict="0">
                <anchor moveWithCells="1">
                  <from>
                    <xdr:col>10</xdr:col>
                    <xdr:colOff>9525</xdr:colOff>
                    <xdr:row>62</xdr:row>
                    <xdr:rowOff>19050</xdr:rowOff>
                  </from>
                  <to>
                    <xdr:col>10</xdr:col>
                    <xdr:colOff>314325</xdr:colOff>
                    <xdr:row>62</xdr:row>
                    <xdr:rowOff>161925</xdr:rowOff>
                  </to>
                </anchor>
              </controlPr>
            </control>
          </mc:Choice>
        </mc:AlternateContent>
        <mc:AlternateContent xmlns:mc="http://schemas.openxmlformats.org/markup-compatibility/2006">
          <mc:Choice Requires="x14">
            <control shapeId="96264" r:id="rId11" name="Check Box 8">
              <controlPr defaultSize="0" autoFill="0" autoLine="0" autoPict="0">
                <anchor moveWithCells="1">
                  <from>
                    <xdr:col>10</xdr:col>
                    <xdr:colOff>9525</xdr:colOff>
                    <xdr:row>65</xdr:row>
                    <xdr:rowOff>19050</xdr:rowOff>
                  </from>
                  <to>
                    <xdr:col>10</xdr:col>
                    <xdr:colOff>314325</xdr:colOff>
                    <xdr:row>65</xdr:row>
                    <xdr:rowOff>161925</xdr:rowOff>
                  </to>
                </anchor>
              </controlPr>
            </control>
          </mc:Choice>
        </mc:AlternateContent>
        <mc:AlternateContent xmlns:mc="http://schemas.openxmlformats.org/markup-compatibility/2006">
          <mc:Choice Requires="x14">
            <control shapeId="96265" r:id="rId12" name="Check Box 9">
              <controlPr defaultSize="0" autoFill="0" autoLine="0" autoPict="0">
                <anchor moveWithCells="1">
                  <from>
                    <xdr:col>10</xdr:col>
                    <xdr:colOff>9525</xdr:colOff>
                    <xdr:row>42</xdr:row>
                    <xdr:rowOff>19050</xdr:rowOff>
                  </from>
                  <to>
                    <xdr:col>10</xdr:col>
                    <xdr:colOff>314325</xdr:colOff>
                    <xdr:row>42</xdr:row>
                    <xdr:rowOff>200025</xdr:rowOff>
                  </to>
                </anchor>
              </controlPr>
            </control>
          </mc:Choice>
        </mc:AlternateContent>
        <mc:AlternateContent xmlns:mc="http://schemas.openxmlformats.org/markup-compatibility/2006">
          <mc:Choice Requires="x14">
            <control shapeId="96266" r:id="rId13" name="Check Box 10">
              <controlPr defaultSize="0" autoFill="0" autoLine="0" autoPict="0">
                <anchor moveWithCells="1">
                  <from>
                    <xdr:col>10</xdr:col>
                    <xdr:colOff>9525</xdr:colOff>
                    <xdr:row>45</xdr:row>
                    <xdr:rowOff>19050</xdr:rowOff>
                  </from>
                  <to>
                    <xdr:col>10</xdr:col>
                    <xdr:colOff>314325</xdr:colOff>
                    <xdr:row>45</xdr:row>
                    <xdr:rowOff>180975</xdr:rowOff>
                  </to>
                </anchor>
              </controlPr>
            </control>
          </mc:Choice>
        </mc:AlternateContent>
        <mc:AlternateContent xmlns:mc="http://schemas.openxmlformats.org/markup-compatibility/2006">
          <mc:Choice Requires="x14">
            <control shapeId="96267" r:id="rId14" name="Check Box 11">
              <controlPr defaultSize="0" autoFill="0" autoLine="0" autoPict="0">
                <anchor moveWithCells="1">
                  <from>
                    <xdr:col>10</xdr:col>
                    <xdr:colOff>9525</xdr:colOff>
                    <xdr:row>48</xdr:row>
                    <xdr:rowOff>19050</xdr:rowOff>
                  </from>
                  <to>
                    <xdr:col>10</xdr:col>
                    <xdr:colOff>314325</xdr:colOff>
                    <xdr:row>48</xdr:row>
                    <xdr:rowOff>180975</xdr:rowOff>
                  </to>
                </anchor>
              </controlPr>
            </control>
          </mc:Choice>
        </mc:AlternateContent>
        <mc:AlternateContent xmlns:mc="http://schemas.openxmlformats.org/markup-compatibility/2006">
          <mc:Choice Requires="x14">
            <control shapeId="96268" r:id="rId15" name="Check Box 12">
              <controlPr defaultSize="0" autoFill="0" autoLine="0" autoPict="0">
                <anchor moveWithCells="1">
                  <from>
                    <xdr:col>10</xdr:col>
                    <xdr:colOff>9525</xdr:colOff>
                    <xdr:row>51</xdr:row>
                    <xdr:rowOff>19050</xdr:rowOff>
                  </from>
                  <to>
                    <xdr:col>10</xdr:col>
                    <xdr:colOff>314325</xdr:colOff>
                    <xdr:row>51</xdr:row>
                    <xdr:rowOff>171450</xdr:rowOff>
                  </to>
                </anchor>
              </controlPr>
            </control>
          </mc:Choice>
        </mc:AlternateContent>
        <mc:AlternateContent xmlns:mc="http://schemas.openxmlformats.org/markup-compatibility/2006">
          <mc:Choice Requires="x14">
            <control shapeId="96269" r:id="rId16" name="Check Box 13">
              <controlPr defaultSize="0" autoFill="0" autoLine="0" autoPict="0">
                <anchor moveWithCells="1">
                  <from>
                    <xdr:col>10</xdr:col>
                    <xdr:colOff>9525</xdr:colOff>
                    <xdr:row>68</xdr:row>
                    <xdr:rowOff>19050</xdr:rowOff>
                  </from>
                  <to>
                    <xdr:col>10</xdr:col>
                    <xdr:colOff>314325</xdr:colOff>
                    <xdr:row>68</xdr:row>
                    <xdr:rowOff>161925</xdr:rowOff>
                  </to>
                </anchor>
              </controlPr>
            </control>
          </mc:Choice>
        </mc:AlternateContent>
        <mc:AlternateContent xmlns:mc="http://schemas.openxmlformats.org/markup-compatibility/2006">
          <mc:Choice Requires="x14">
            <control shapeId="96270" r:id="rId17" name="Check Box 14">
              <controlPr defaultSize="0" autoFill="0" autoLine="0" autoPict="0">
                <anchor moveWithCells="1">
                  <from>
                    <xdr:col>10</xdr:col>
                    <xdr:colOff>9525</xdr:colOff>
                    <xdr:row>71</xdr:row>
                    <xdr:rowOff>19050</xdr:rowOff>
                  </from>
                  <to>
                    <xdr:col>10</xdr:col>
                    <xdr:colOff>314325</xdr:colOff>
                    <xdr:row>71</xdr:row>
                    <xdr:rowOff>161925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0"/>
  <sheetViews>
    <sheetView workbookViewId="0"/>
  </sheetViews>
  <sheetFormatPr defaultRowHeight="12.75" x14ac:dyDescent="0.2"/>
  <cols>
    <col min="1" max="1" width="21.33203125" customWidth="1"/>
    <col min="2" max="2" width="50.33203125" customWidth="1"/>
    <col min="3" max="3" width="26.1640625" style="630" customWidth="1"/>
    <col min="12" max="12" width="17.6640625" customWidth="1"/>
  </cols>
  <sheetData>
    <row r="1" spans="1:12" x14ac:dyDescent="0.2">
      <c r="A1" s="802" t="s">
        <v>1156</v>
      </c>
      <c r="B1" s="1080" t="s">
        <v>1157</v>
      </c>
      <c r="C1" s="1081" t="s">
        <v>1158</v>
      </c>
    </row>
    <row r="2" spans="1:12" ht="23.25" customHeight="1" x14ac:dyDescent="0.25">
      <c r="A2" s="802" t="s">
        <v>1159</v>
      </c>
      <c r="B2" s="1082" t="s">
        <v>1160</v>
      </c>
      <c r="C2" s="1083">
        <v>204268241</v>
      </c>
      <c r="E2" s="1132" t="s">
        <v>1727</v>
      </c>
      <c r="F2" s="1132"/>
      <c r="G2" s="1132"/>
      <c r="H2" s="1132"/>
      <c r="I2" s="1132"/>
      <c r="J2" s="1132"/>
      <c r="K2" s="1132"/>
      <c r="L2" s="1132"/>
    </row>
    <row r="3" spans="1:12" ht="15" x14ac:dyDescent="0.25">
      <c r="A3" s="802" t="s">
        <v>1161</v>
      </c>
      <c r="B3" s="1082" t="s">
        <v>1162</v>
      </c>
      <c r="C3" s="1083" t="s">
        <v>1163</v>
      </c>
      <c r="E3" s="1132" t="s">
        <v>1728</v>
      </c>
      <c r="F3" s="1132"/>
      <c r="G3" s="1132"/>
      <c r="H3" s="1132"/>
      <c r="I3" s="1132"/>
      <c r="J3" s="1132"/>
      <c r="K3" s="1132"/>
      <c r="L3" s="1132"/>
    </row>
    <row r="4" spans="1:12" ht="22.5" x14ac:dyDescent="0.2">
      <c r="A4" s="802" t="s">
        <v>1164</v>
      </c>
      <c r="B4" s="1082" t="s">
        <v>1165</v>
      </c>
      <c r="C4" s="1083" t="s">
        <v>1163</v>
      </c>
    </row>
    <row r="5" spans="1:12" ht="22.5" x14ac:dyDescent="0.2">
      <c r="A5" s="802" t="s">
        <v>1166</v>
      </c>
      <c r="B5" s="1082" t="s">
        <v>1167</v>
      </c>
      <c r="C5" s="1083" t="s">
        <v>1168</v>
      </c>
    </row>
    <row r="6" spans="1:12" ht="33.75" customHeight="1" x14ac:dyDescent="0.2">
      <c r="A6" s="802" t="s">
        <v>1169</v>
      </c>
      <c r="B6" s="1082" t="s">
        <v>1558</v>
      </c>
      <c r="C6" s="1083">
        <v>208229</v>
      </c>
      <c r="F6" s="1602" t="s">
        <v>1559</v>
      </c>
      <c r="G6" s="1602"/>
      <c r="H6" s="1602"/>
      <c r="I6" s="1602"/>
      <c r="J6" s="1602"/>
      <c r="K6" s="1602"/>
      <c r="L6" s="1602"/>
    </row>
    <row r="7" spans="1:12" ht="12.75" customHeight="1" x14ac:dyDescent="0.2">
      <c r="A7" s="802" t="s">
        <v>1170</v>
      </c>
      <c r="B7" s="1082" t="s">
        <v>1171</v>
      </c>
      <c r="C7" s="1084">
        <v>211</v>
      </c>
      <c r="F7" s="1602"/>
      <c r="G7" s="1602"/>
      <c r="H7" s="1602"/>
      <c r="I7" s="1602"/>
      <c r="J7" s="1602"/>
      <c r="K7" s="1602"/>
      <c r="L7" s="1602"/>
    </row>
    <row r="8" spans="1:12" ht="22.5" customHeight="1" x14ac:dyDescent="0.2">
      <c r="A8" s="802" t="s">
        <v>1172</v>
      </c>
      <c r="B8" s="1082" t="s">
        <v>1560</v>
      </c>
      <c r="C8" s="1083">
        <v>212234</v>
      </c>
      <c r="F8" s="1602"/>
      <c r="G8" s="1602"/>
      <c r="H8" s="1602"/>
      <c r="I8" s="1602"/>
      <c r="J8" s="1602"/>
      <c r="K8" s="1602"/>
      <c r="L8" s="1602"/>
    </row>
    <row r="9" spans="1:12" x14ac:dyDescent="0.2">
      <c r="A9" s="802" t="s">
        <v>1173</v>
      </c>
      <c r="B9" s="1082" t="s">
        <v>1174</v>
      </c>
      <c r="C9" s="1084">
        <v>213</v>
      </c>
      <c r="F9" s="1602"/>
      <c r="G9" s="1602"/>
      <c r="H9" s="1602"/>
      <c r="I9" s="1602"/>
      <c r="J9" s="1602"/>
      <c r="K9" s="1602"/>
      <c r="L9" s="1602"/>
    </row>
    <row r="10" spans="1:12" ht="12.75" customHeight="1" x14ac:dyDescent="0.2">
      <c r="A10" s="802" t="s">
        <v>1175</v>
      </c>
      <c r="B10" s="1082" t="s">
        <v>1176</v>
      </c>
      <c r="C10" s="1084">
        <v>214</v>
      </c>
      <c r="E10" t="s">
        <v>1561</v>
      </c>
    </row>
    <row r="11" spans="1:12" ht="12.75" customHeight="1" x14ac:dyDescent="0.2">
      <c r="A11" s="802" t="s">
        <v>1177</v>
      </c>
      <c r="B11" s="1082" t="s">
        <v>1178</v>
      </c>
      <c r="C11" s="1084">
        <v>215</v>
      </c>
      <c r="E11" t="s">
        <v>1562</v>
      </c>
    </row>
    <row r="12" spans="1:12" x14ac:dyDescent="0.2">
      <c r="A12" s="802" t="s">
        <v>1179</v>
      </c>
      <c r="B12" s="1082" t="s">
        <v>1180</v>
      </c>
      <c r="C12" s="1084">
        <v>216</v>
      </c>
      <c r="E12" t="s">
        <v>1563</v>
      </c>
    </row>
    <row r="13" spans="1:12" x14ac:dyDescent="0.2">
      <c r="A13" s="802" t="s">
        <v>1181</v>
      </c>
      <c r="B13" s="1082" t="s">
        <v>1182</v>
      </c>
      <c r="C13" s="1084">
        <v>217</v>
      </c>
      <c r="E13" t="s">
        <v>1564</v>
      </c>
    </row>
    <row r="14" spans="1:12" x14ac:dyDescent="0.2">
      <c r="A14" s="802" t="s">
        <v>1183</v>
      </c>
      <c r="B14" s="1082" t="s">
        <v>1184</v>
      </c>
      <c r="C14" s="1084">
        <v>221</v>
      </c>
      <c r="E14" t="s">
        <v>1565</v>
      </c>
    </row>
    <row r="15" spans="1:12" ht="22.5" x14ac:dyDescent="0.2">
      <c r="A15" s="802" t="s">
        <v>1185</v>
      </c>
      <c r="B15" s="1082" t="s">
        <v>1186</v>
      </c>
      <c r="C15" s="1084">
        <v>236</v>
      </c>
      <c r="E15" t="s">
        <v>1566</v>
      </c>
    </row>
    <row r="16" spans="1:12" x14ac:dyDescent="0.2">
      <c r="A16" s="802" t="s">
        <v>1187</v>
      </c>
      <c r="B16" s="1082" t="s">
        <v>1188</v>
      </c>
      <c r="C16" s="1084">
        <v>236</v>
      </c>
      <c r="E16" t="s">
        <v>1567</v>
      </c>
    </row>
    <row r="17" spans="1:5" ht="22.5" x14ac:dyDescent="0.2">
      <c r="A17" s="802" t="s">
        <v>1189</v>
      </c>
      <c r="B17" s="1082" t="s">
        <v>1190</v>
      </c>
      <c r="C17" s="1084" t="s">
        <v>339</v>
      </c>
      <c r="E17" t="s">
        <v>1568</v>
      </c>
    </row>
    <row r="18" spans="1:5" x14ac:dyDescent="0.2">
      <c r="A18" s="802" t="s">
        <v>1191</v>
      </c>
      <c r="B18" s="1082" t="s">
        <v>1192</v>
      </c>
      <c r="C18" s="1084" t="s">
        <v>339</v>
      </c>
      <c r="E18" t="s">
        <v>1569</v>
      </c>
    </row>
    <row r="19" spans="1:5" x14ac:dyDescent="0.2">
      <c r="A19" s="802" t="s">
        <v>1193</v>
      </c>
      <c r="B19" s="1082" t="s">
        <v>1194</v>
      </c>
      <c r="C19" s="1084">
        <v>242</v>
      </c>
    </row>
    <row r="20" spans="1:5" x14ac:dyDescent="0.2">
      <c r="A20" s="802" t="s">
        <v>1195</v>
      </c>
      <c r="B20" s="1082" t="s">
        <v>1196</v>
      </c>
      <c r="C20" s="1084">
        <v>247</v>
      </c>
    </row>
    <row r="21" spans="1:5" ht="33.75" x14ac:dyDescent="0.2">
      <c r="A21" s="802" t="s">
        <v>1197</v>
      </c>
      <c r="B21" s="1082" t="s">
        <v>1267</v>
      </c>
      <c r="C21" s="1085" t="s">
        <v>1570</v>
      </c>
    </row>
    <row r="22" spans="1:5" x14ac:dyDescent="0.2">
      <c r="A22" s="802" t="s">
        <v>1198</v>
      </c>
      <c r="B22" s="1082" t="s">
        <v>1199</v>
      </c>
      <c r="C22" s="1084" t="s">
        <v>339</v>
      </c>
    </row>
    <row r="23" spans="1:5" x14ac:dyDescent="0.2">
      <c r="A23" s="802" t="s">
        <v>1200</v>
      </c>
      <c r="B23" s="1082" t="s">
        <v>1201</v>
      </c>
      <c r="C23" s="1084" t="s">
        <v>636</v>
      </c>
    </row>
    <row r="24" spans="1:5" x14ac:dyDescent="0.2">
      <c r="A24" s="802" t="s">
        <v>1203</v>
      </c>
      <c r="B24" s="1082" t="s">
        <v>1204</v>
      </c>
      <c r="C24" s="1084" t="s">
        <v>636</v>
      </c>
    </row>
    <row r="25" spans="1:5" x14ac:dyDescent="0.2">
      <c r="A25" s="802" t="s">
        <v>1205</v>
      </c>
      <c r="B25" s="1082" t="s">
        <v>1206</v>
      </c>
      <c r="C25" s="1084">
        <v>937</v>
      </c>
    </row>
    <row r="26" spans="1:5" x14ac:dyDescent="0.2">
      <c r="A26" s="802" t="s">
        <v>1207</v>
      </c>
      <c r="B26" s="1082" t="s">
        <v>1208</v>
      </c>
      <c r="C26" s="1084">
        <v>938</v>
      </c>
    </row>
    <row r="27" spans="1:5" x14ac:dyDescent="0.2">
      <c r="A27" s="802" t="s">
        <v>1209</v>
      </c>
      <c r="B27" s="1082" t="s">
        <v>1210</v>
      </c>
      <c r="C27" s="1084" t="s">
        <v>637</v>
      </c>
    </row>
    <row r="29" spans="1:5" x14ac:dyDescent="0.2">
      <c r="A29" s="803"/>
      <c r="B29" s="803"/>
      <c r="C29" s="803"/>
    </row>
    <row r="30" spans="1:5" x14ac:dyDescent="0.2">
      <c r="A30" s="803"/>
      <c r="B30" s="803"/>
      <c r="C30" s="803"/>
    </row>
  </sheetData>
  <sheetProtection algorithmName="SHA-512" hashValue="HiAjoG6u1e4VJGbzteFheF0UyYrx9OCMI8G0MuX77uSjV/nFztYeRKOE3Eeww4Y/Fg91jqsJO+2VqKsldQ9Z4Q==" saltValue="HSvV9wYBKRD1e1OZ0YTrmg==" spinCount="100000" sheet="1" objects="1" scenarios="1"/>
  <mergeCells count="4">
    <mergeCell ref="F8:L8"/>
    <mergeCell ref="F9:L9"/>
    <mergeCell ref="F6:L6"/>
    <mergeCell ref="F7:L7"/>
  </mergeCells>
  <pageMargins left="0.7" right="0.7" top="0.75" bottom="0.75" header="0.3" footer="0.3"/>
  <pageSetup orientation="portrait" r:id="rId1"/>
  <headerFooter>
    <oddFooter>&amp;L&amp;F \ &amp;A&amp;RPage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2"/>
  <sheetViews>
    <sheetView zoomScaleNormal="100" workbookViewId="0">
      <pane xSplit="1" ySplit="1" topLeftCell="B2" activePane="bottomRight" state="frozen"/>
      <selection activeCell="AD254" sqref="AD254"/>
      <selection pane="topRight" activeCell="AD254" sqref="AD254"/>
      <selection pane="bottomLeft" activeCell="AD254" sqref="AD254"/>
      <selection pane="bottomRight"/>
    </sheetView>
  </sheetViews>
  <sheetFormatPr defaultColWidth="10.6640625" defaultRowHeight="12.75" x14ac:dyDescent="0.2"/>
  <cols>
    <col min="1" max="1" width="36.83203125" style="134" customWidth="1"/>
    <col min="2" max="2" width="19.5" style="134" customWidth="1"/>
    <col min="3" max="3" width="22.33203125" style="546" customWidth="1"/>
    <col min="4" max="23" width="19.5" style="546" customWidth="1"/>
    <col min="24" max="24" width="10.6640625" style="546" customWidth="1"/>
    <col min="25" max="25" width="17.1640625" style="546" customWidth="1"/>
    <col min="26" max="26" width="17.5" style="540" customWidth="1"/>
    <col min="27" max="27" width="19.83203125" style="540" customWidth="1"/>
    <col min="28" max="32" width="10.6640625" style="546"/>
    <col min="33" max="33" width="15.1640625" style="546" customWidth="1"/>
    <col min="34" max="16384" width="10.6640625" style="546"/>
  </cols>
  <sheetData>
    <row r="1" spans="1:27" ht="113.25" customHeight="1" x14ac:dyDescent="0.2">
      <c r="A1" s="849" t="s">
        <v>1827</v>
      </c>
      <c r="B1" s="810" t="s">
        <v>1258</v>
      </c>
      <c r="C1" s="595" t="s">
        <v>1193</v>
      </c>
      <c r="D1" s="595" t="s">
        <v>1159</v>
      </c>
      <c r="E1" s="595" t="s">
        <v>1195</v>
      </c>
      <c r="F1" s="595" t="s">
        <v>1200</v>
      </c>
      <c r="G1" s="595" t="s">
        <v>1179</v>
      </c>
      <c r="H1" s="595" t="s">
        <v>1175</v>
      </c>
      <c r="I1" s="595" t="s">
        <v>1177</v>
      </c>
      <c r="J1" s="595" t="s">
        <v>1207</v>
      </c>
      <c r="K1" s="595" t="s">
        <v>1173</v>
      </c>
      <c r="L1" s="595" t="s">
        <v>1183</v>
      </c>
      <c r="M1" s="595" t="s">
        <v>1203</v>
      </c>
      <c r="N1" s="595" t="s">
        <v>1181</v>
      </c>
      <c r="O1" s="595" t="s">
        <v>1205</v>
      </c>
      <c r="P1" s="595" t="s">
        <v>1209</v>
      </c>
      <c r="Q1" s="595" t="s">
        <v>1166</v>
      </c>
      <c r="R1" s="595" t="s">
        <v>1187</v>
      </c>
      <c r="S1" s="595" t="s">
        <v>1189</v>
      </c>
      <c r="T1" s="596" t="s">
        <v>1197</v>
      </c>
      <c r="U1" s="596" t="s">
        <v>1170</v>
      </c>
      <c r="V1" s="596" t="s">
        <v>1169</v>
      </c>
      <c r="W1" s="596" t="s">
        <v>1172</v>
      </c>
      <c r="Y1" s="546" t="s">
        <v>750</v>
      </c>
      <c r="Z1" s="813" t="s">
        <v>1027</v>
      </c>
      <c r="AA1" s="814" t="s">
        <v>1028</v>
      </c>
    </row>
    <row r="2" spans="1:27" x14ac:dyDescent="0.2">
      <c r="A2" s="572" t="s">
        <v>578</v>
      </c>
      <c r="B2" s="571"/>
      <c r="C2" s="571">
        <v>4440612</v>
      </c>
      <c r="D2" s="571">
        <v>14486900</v>
      </c>
      <c r="E2" s="571">
        <v>29196104</v>
      </c>
      <c r="F2" s="571">
        <v>196116</v>
      </c>
      <c r="G2" s="571">
        <v>8471744</v>
      </c>
      <c r="H2" s="571">
        <v>1463921</v>
      </c>
      <c r="I2" s="571">
        <v>1685141</v>
      </c>
      <c r="J2" s="571">
        <v>82454</v>
      </c>
      <c r="K2" s="571">
        <v>2626594</v>
      </c>
      <c r="L2" s="1131">
        <v>8274832</v>
      </c>
      <c r="M2" s="571">
        <v>176642</v>
      </c>
      <c r="N2" s="571">
        <v>4586073</v>
      </c>
      <c r="O2" s="571">
        <v>199706</v>
      </c>
      <c r="P2" s="571">
        <v>181221</v>
      </c>
      <c r="Q2" s="571">
        <v>120687458</v>
      </c>
      <c r="R2" s="571">
        <v>59262457</v>
      </c>
      <c r="S2" s="571">
        <v>40859366</v>
      </c>
      <c r="T2" s="571">
        <v>32264591</v>
      </c>
      <c r="U2" s="571">
        <v>1746383</v>
      </c>
      <c r="V2" s="571">
        <v>60726000</v>
      </c>
      <c r="W2" s="571">
        <v>5729445</v>
      </c>
      <c r="Y2" s="568">
        <f>SUM(C2:W2)</f>
        <v>397343760</v>
      </c>
      <c r="Z2" s="815">
        <v>274734952</v>
      </c>
      <c r="AA2" s="815">
        <f>Y2-Z2</f>
        <v>122608808</v>
      </c>
    </row>
    <row r="3" spans="1:27" ht="24" x14ac:dyDescent="0.2">
      <c r="A3" s="714" t="s">
        <v>1556</v>
      </c>
      <c r="B3" s="571"/>
      <c r="C3" s="571">
        <v>72737918</v>
      </c>
      <c r="D3" s="571">
        <v>21046684</v>
      </c>
      <c r="E3" s="571">
        <v>53220466</v>
      </c>
      <c r="F3" s="571">
        <v>0</v>
      </c>
      <c r="G3" s="571">
        <v>7050231</v>
      </c>
      <c r="H3" s="571">
        <v>3212708</v>
      </c>
      <c r="I3" s="571">
        <v>5608609</v>
      </c>
      <c r="J3" s="571">
        <v>0</v>
      </c>
      <c r="K3" s="571">
        <v>166720</v>
      </c>
      <c r="L3" s="571">
        <v>115371439</v>
      </c>
      <c r="M3" s="571">
        <v>0</v>
      </c>
      <c r="N3" s="571">
        <v>28713181</v>
      </c>
      <c r="O3" s="571">
        <v>0</v>
      </c>
      <c r="P3" s="571">
        <v>0</v>
      </c>
      <c r="Q3" s="1131">
        <f>158595739+2863336</f>
        <v>161459075</v>
      </c>
      <c r="R3" s="571">
        <v>98512114</v>
      </c>
      <c r="S3" s="571">
        <v>47338741</v>
      </c>
      <c r="T3" s="571">
        <v>33220218</v>
      </c>
      <c r="U3" s="571">
        <v>269877</v>
      </c>
      <c r="V3" s="571">
        <v>205951000</v>
      </c>
      <c r="W3" s="571">
        <v>0</v>
      </c>
      <c r="Y3" s="568">
        <f>SUM(C3:W3)</f>
        <v>853878981</v>
      </c>
      <c r="Z3" s="815">
        <v>253066934</v>
      </c>
      <c r="AA3" s="815">
        <f>Y3-Z3</f>
        <v>600812047</v>
      </c>
    </row>
    <row r="4" spans="1:27" ht="40.5" customHeight="1" x14ac:dyDescent="0.2">
      <c r="A4" s="714" t="s">
        <v>1726</v>
      </c>
      <c r="B4" s="888"/>
      <c r="C4" s="888">
        <v>0</v>
      </c>
      <c r="D4" s="888">
        <v>0</v>
      </c>
      <c r="E4" s="888">
        <v>0</v>
      </c>
      <c r="F4" s="888">
        <v>0</v>
      </c>
      <c r="G4" s="888">
        <v>0</v>
      </c>
      <c r="H4" s="888">
        <v>0</v>
      </c>
      <c r="I4" s="888">
        <v>0</v>
      </c>
      <c r="J4" s="888">
        <v>0</v>
      </c>
      <c r="K4" s="888">
        <v>0</v>
      </c>
      <c r="L4" s="888">
        <v>0</v>
      </c>
      <c r="M4" s="888">
        <v>0</v>
      </c>
      <c r="N4" s="888">
        <v>0</v>
      </c>
      <c r="O4" s="888">
        <v>0</v>
      </c>
      <c r="P4" s="888">
        <v>0</v>
      </c>
      <c r="Q4" s="888">
        <v>0</v>
      </c>
      <c r="R4" s="888">
        <v>0</v>
      </c>
      <c r="S4" s="888">
        <v>0</v>
      </c>
      <c r="T4" s="888">
        <v>0</v>
      </c>
      <c r="U4" s="888">
        <v>0</v>
      </c>
      <c r="V4" s="888">
        <v>0</v>
      </c>
      <c r="W4" s="888">
        <v>0</v>
      </c>
      <c r="Y4" s="568">
        <f t="shared" ref="Y4:Y7" si="0">SUM(C4:W4)</f>
        <v>0</v>
      </c>
      <c r="Z4" s="815"/>
      <c r="AA4" s="815"/>
    </row>
    <row r="5" spans="1:27" ht="24" x14ac:dyDescent="0.2">
      <c r="A5" s="714" t="s">
        <v>1544</v>
      </c>
      <c r="B5" s="888"/>
      <c r="C5" s="888">
        <v>4843844</v>
      </c>
      <c r="D5" s="888">
        <v>8114605</v>
      </c>
      <c r="E5" s="888">
        <v>20004710</v>
      </c>
      <c r="F5" s="888">
        <v>0</v>
      </c>
      <c r="G5" s="888">
        <v>6465534</v>
      </c>
      <c r="H5" s="888">
        <v>3810007</v>
      </c>
      <c r="I5" s="888">
        <v>5516844</v>
      </c>
      <c r="J5" s="888">
        <v>0</v>
      </c>
      <c r="K5" s="1131">
        <f>1754901-330020</f>
        <v>1424881</v>
      </c>
      <c r="L5" s="1131">
        <f>4178366+13627686</f>
        <v>17806052</v>
      </c>
      <c r="M5" s="888">
        <v>0</v>
      </c>
      <c r="N5" s="888">
        <v>3280609</v>
      </c>
      <c r="O5" s="888">
        <v>0</v>
      </c>
      <c r="P5" s="888">
        <v>0</v>
      </c>
      <c r="Q5" s="888">
        <v>53543600</v>
      </c>
      <c r="R5" s="888">
        <v>15964961</v>
      </c>
      <c r="S5" s="888">
        <v>26122305</v>
      </c>
      <c r="T5" s="888">
        <v>1147513</v>
      </c>
      <c r="U5" s="888">
        <v>3339526</v>
      </c>
      <c r="V5" s="1131">
        <f>14182000+4026000</f>
        <v>18208000</v>
      </c>
      <c r="W5" s="888">
        <v>0</v>
      </c>
      <c r="Y5" s="568">
        <f>SUM(C5:W5)</f>
        <v>189592991</v>
      </c>
      <c r="Z5" s="815"/>
      <c r="AA5" s="815"/>
    </row>
    <row r="6" spans="1:27" x14ac:dyDescent="0.2">
      <c r="A6" s="572" t="s">
        <v>664</v>
      </c>
      <c r="B6" s="571"/>
      <c r="C6" s="571">
        <v>50330095</v>
      </c>
      <c r="D6" s="571">
        <v>111562766</v>
      </c>
      <c r="E6" s="571">
        <v>239221157</v>
      </c>
      <c r="F6" s="571">
        <v>0</v>
      </c>
      <c r="G6" s="571">
        <v>263355667</v>
      </c>
      <c r="H6" s="571">
        <v>32852774</v>
      </c>
      <c r="I6" s="571">
        <v>248278967</v>
      </c>
      <c r="J6" s="571">
        <v>0</v>
      </c>
      <c r="K6" s="571">
        <v>25138038</v>
      </c>
      <c r="L6" s="571">
        <v>115987388</v>
      </c>
      <c r="M6" s="571">
        <v>0</v>
      </c>
      <c r="N6" s="571">
        <v>15305495</v>
      </c>
      <c r="O6" s="571">
        <v>0</v>
      </c>
      <c r="P6" s="571">
        <v>0</v>
      </c>
      <c r="Q6" s="571">
        <v>0</v>
      </c>
      <c r="R6" s="571">
        <v>79889556</v>
      </c>
      <c r="S6" s="571">
        <v>0</v>
      </c>
      <c r="T6" s="571">
        <v>74572535</v>
      </c>
      <c r="U6" s="571">
        <v>17507031</v>
      </c>
      <c r="V6" s="571">
        <v>255821000</v>
      </c>
      <c r="W6" s="571">
        <v>25278338</v>
      </c>
      <c r="Y6" s="568">
        <f t="shared" si="0"/>
        <v>1555100807</v>
      </c>
      <c r="Z6" s="815">
        <v>1823436206</v>
      </c>
      <c r="AA6" s="815">
        <f>Y6-Z6</f>
        <v>-268335399</v>
      </c>
    </row>
    <row r="7" spans="1:27" ht="36" x14ac:dyDescent="0.2">
      <c r="A7" s="572" t="s">
        <v>715</v>
      </c>
      <c r="B7" s="571"/>
      <c r="C7" s="571">
        <v>0</v>
      </c>
      <c r="D7" s="571">
        <v>0</v>
      </c>
      <c r="E7" s="571">
        <v>0</v>
      </c>
      <c r="F7" s="571">
        <v>0</v>
      </c>
      <c r="G7" s="571">
        <v>0</v>
      </c>
      <c r="H7" s="571">
        <v>0</v>
      </c>
      <c r="I7" s="571">
        <v>0</v>
      </c>
      <c r="J7" s="571">
        <v>0</v>
      </c>
      <c r="K7" s="571">
        <v>0</v>
      </c>
      <c r="L7" s="571">
        <v>0</v>
      </c>
      <c r="M7" s="571">
        <v>0</v>
      </c>
      <c r="N7" s="571">
        <v>0</v>
      </c>
      <c r="O7" s="571">
        <v>0</v>
      </c>
      <c r="P7" s="571">
        <v>0</v>
      </c>
      <c r="Q7" s="1131">
        <f>2668141+3557101</f>
        <v>6225242</v>
      </c>
      <c r="R7" s="571">
        <v>0</v>
      </c>
      <c r="S7" s="571">
        <v>161333766</v>
      </c>
      <c r="T7" s="571">
        <v>0</v>
      </c>
      <c r="U7" s="571">
        <v>0</v>
      </c>
      <c r="V7" s="571">
        <v>0</v>
      </c>
      <c r="W7" s="571">
        <v>0</v>
      </c>
      <c r="Y7" s="568">
        <f t="shared" si="0"/>
        <v>167559008</v>
      </c>
      <c r="Z7" s="815">
        <v>24604449</v>
      </c>
      <c r="AA7" s="815">
        <f>Y7-Z7</f>
        <v>142954559</v>
      </c>
    </row>
    <row r="8" spans="1:27" x14ac:dyDescent="0.2">
      <c r="A8" s="572" t="s">
        <v>454</v>
      </c>
      <c r="B8" s="215">
        <f>SUM(B6:B7)</f>
        <v>0</v>
      </c>
      <c r="C8" s="215">
        <f t="shared" ref="C8:W8" si="1">SUM(C6:C7)</f>
        <v>50330095</v>
      </c>
      <c r="D8" s="215">
        <f t="shared" si="1"/>
        <v>111562766</v>
      </c>
      <c r="E8" s="215">
        <f t="shared" si="1"/>
        <v>239221157</v>
      </c>
      <c r="F8" s="215">
        <f t="shared" si="1"/>
        <v>0</v>
      </c>
      <c r="G8" s="215">
        <f t="shared" si="1"/>
        <v>263355667</v>
      </c>
      <c r="H8" s="215">
        <f t="shared" si="1"/>
        <v>32852774</v>
      </c>
      <c r="I8" s="215">
        <f t="shared" si="1"/>
        <v>248278967</v>
      </c>
      <c r="J8" s="215">
        <f t="shared" si="1"/>
        <v>0</v>
      </c>
      <c r="K8" s="215">
        <f t="shared" si="1"/>
        <v>25138038</v>
      </c>
      <c r="L8" s="215">
        <f t="shared" si="1"/>
        <v>115987388</v>
      </c>
      <c r="M8" s="215">
        <f t="shared" si="1"/>
        <v>0</v>
      </c>
      <c r="N8" s="215">
        <f t="shared" si="1"/>
        <v>15305495</v>
      </c>
      <c r="O8" s="215">
        <f t="shared" si="1"/>
        <v>0</v>
      </c>
      <c r="P8" s="215">
        <f t="shared" si="1"/>
        <v>0</v>
      </c>
      <c r="Q8" s="215">
        <f t="shared" si="1"/>
        <v>6225242</v>
      </c>
      <c r="R8" s="215">
        <f t="shared" si="1"/>
        <v>79889556</v>
      </c>
      <c r="S8" s="215">
        <f t="shared" si="1"/>
        <v>161333766</v>
      </c>
      <c r="T8" s="215">
        <f t="shared" si="1"/>
        <v>74572535</v>
      </c>
      <c r="U8" s="215">
        <f t="shared" si="1"/>
        <v>17507031</v>
      </c>
      <c r="V8" s="215">
        <f t="shared" si="1"/>
        <v>255821000</v>
      </c>
      <c r="W8" s="215">
        <f t="shared" si="1"/>
        <v>25278338</v>
      </c>
      <c r="Y8" s="215">
        <f>SUM(Y6:Y7)</f>
        <v>1722659815</v>
      </c>
      <c r="Z8" s="816">
        <f>SUM(Z6:Z7)</f>
        <v>1848040655</v>
      </c>
      <c r="AA8" s="817">
        <f>SUM(AA6:AA7)</f>
        <v>-125380840</v>
      </c>
    </row>
    <row r="9" spans="1:27" x14ac:dyDescent="0.2">
      <c r="A9" s="572"/>
      <c r="B9" s="214"/>
      <c r="C9" s="214"/>
      <c r="D9" s="214"/>
      <c r="E9" s="214"/>
      <c r="F9" s="214"/>
      <c r="G9" s="214"/>
      <c r="H9" s="214"/>
      <c r="I9" s="214"/>
      <c r="J9" s="214"/>
      <c r="K9" s="214"/>
      <c r="L9" s="214"/>
      <c r="M9" s="214"/>
      <c r="N9" s="214"/>
      <c r="O9" s="214"/>
      <c r="P9" s="214"/>
      <c r="Q9" s="214"/>
      <c r="R9" s="214"/>
      <c r="S9" s="214"/>
      <c r="T9" s="214"/>
      <c r="U9" s="214"/>
      <c r="V9" s="214"/>
      <c r="W9" s="214"/>
      <c r="Z9" s="815"/>
      <c r="AA9" s="815"/>
    </row>
    <row r="10" spans="1:27" ht="24" x14ac:dyDescent="0.2">
      <c r="A10" s="572" t="s">
        <v>83</v>
      </c>
      <c r="B10" s="571"/>
      <c r="C10" s="571">
        <v>48787773</v>
      </c>
      <c r="D10" s="571">
        <v>53412074</v>
      </c>
      <c r="E10" s="571">
        <v>145473694</v>
      </c>
      <c r="F10" s="571">
        <v>0</v>
      </c>
      <c r="G10" s="571">
        <v>135789938</v>
      </c>
      <c r="H10" s="571">
        <v>5407741</v>
      </c>
      <c r="I10" s="571">
        <v>709285</v>
      </c>
      <c r="J10" s="571">
        <v>0</v>
      </c>
      <c r="K10" s="571">
        <v>58007422</v>
      </c>
      <c r="L10" s="571">
        <v>92168698</v>
      </c>
      <c r="M10" s="571">
        <v>0</v>
      </c>
      <c r="N10" s="571">
        <v>39575164</v>
      </c>
      <c r="O10" s="571">
        <v>0</v>
      </c>
      <c r="P10" s="571">
        <v>0</v>
      </c>
      <c r="Q10" s="571">
        <v>0</v>
      </c>
      <c r="R10" s="571">
        <v>47157046</v>
      </c>
      <c r="S10" s="571">
        <v>0</v>
      </c>
      <c r="T10" s="571">
        <v>0</v>
      </c>
      <c r="U10" s="571">
        <v>1776964</v>
      </c>
      <c r="V10" s="571">
        <v>262391000</v>
      </c>
      <c r="W10" s="571">
        <v>51006374</v>
      </c>
      <c r="Y10" s="568">
        <f>SUM(C10:W10)</f>
        <v>941663173</v>
      </c>
      <c r="Z10" s="815">
        <v>877319081</v>
      </c>
      <c r="AA10" s="815">
        <f>Y10-Z10</f>
        <v>64344092</v>
      </c>
    </row>
    <row r="11" spans="1:27" ht="24" x14ac:dyDescent="0.2">
      <c r="A11" s="572" t="s">
        <v>84</v>
      </c>
      <c r="B11" s="571"/>
      <c r="C11" s="571">
        <v>0</v>
      </c>
      <c r="D11" s="571">
        <v>0</v>
      </c>
      <c r="E11" s="571">
        <v>0</v>
      </c>
      <c r="F11" s="571">
        <v>0</v>
      </c>
      <c r="G11" s="571">
        <v>0</v>
      </c>
      <c r="H11" s="571">
        <v>0</v>
      </c>
      <c r="I11" s="571">
        <v>0</v>
      </c>
      <c r="J11" s="571">
        <v>0</v>
      </c>
      <c r="K11" s="571">
        <v>0</v>
      </c>
      <c r="L11" s="571">
        <v>0</v>
      </c>
      <c r="M11" s="571">
        <v>0</v>
      </c>
      <c r="N11" s="571">
        <v>0</v>
      </c>
      <c r="O11" s="571">
        <v>0</v>
      </c>
      <c r="P11" s="571">
        <v>0</v>
      </c>
      <c r="Q11" s="571">
        <v>0</v>
      </c>
      <c r="R11" s="571">
        <v>0</v>
      </c>
      <c r="S11" s="571">
        <v>0</v>
      </c>
      <c r="T11" s="571">
        <v>0</v>
      </c>
      <c r="U11" s="571">
        <v>0</v>
      </c>
      <c r="V11" s="571">
        <v>0</v>
      </c>
      <c r="W11" s="571">
        <v>0</v>
      </c>
      <c r="Y11" s="568">
        <f>SUM(C11:W11)</f>
        <v>0</v>
      </c>
      <c r="Z11" s="815">
        <v>0</v>
      </c>
      <c r="AA11" s="815">
        <f>Y11-Z11</f>
        <v>0</v>
      </c>
    </row>
    <row r="12" spans="1:27" ht="24" x14ac:dyDescent="0.2">
      <c r="A12" s="572" t="s">
        <v>161</v>
      </c>
      <c r="B12" s="571"/>
      <c r="C12" s="571">
        <v>0</v>
      </c>
      <c r="D12" s="571">
        <v>151146258</v>
      </c>
      <c r="E12" s="571">
        <v>0</v>
      </c>
      <c r="F12" s="571">
        <v>0</v>
      </c>
      <c r="G12" s="571">
        <v>0</v>
      </c>
      <c r="H12" s="571">
        <v>0</v>
      </c>
      <c r="I12" s="571">
        <v>0</v>
      </c>
      <c r="J12" s="571">
        <v>0</v>
      </c>
      <c r="K12" s="571">
        <v>0</v>
      </c>
      <c r="L12" s="571">
        <v>0</v>
      </c>
      <c r="M12" s="571">
        <v>0</v>
      </c>
      <c r="N12" s="571">
        <v>0</v>
      </c>
      <c r="O12" s="571">
        <v>0</v>
      </c>
      <c r="P12" s="571">
        <v>0</v>
      </c>
      <c r="Q12" s="1131">
        <f>3343362545-3557101</f>
        <v>3339805444</v>
      </c>
      <c r="R12" s="571">
        <v>314269641</v>
      </c>
      <c r="S12" s="571">
        <v>541193718</v>
      </c>
      <c r="T12" s="571">
        <v>0</v>
      </c>
      <c r="U12" s="571">
        <v>0</v>
      </c>
      <c r="V12" s="571">
        <v>79001000</v>
      </c>
      <c r="W12" s="571">
        <v>0</v>
      </c>
      <c r="Y12" s="568">
        <f>SUM(C12:W12)</f>
        <v>4425416061</v>
      </c>
      <c r="Z12" s="815">
        <v>2081822518</v>
      </c>
      <c r="AA12" s="815">
        <f>Y12-Z12</f>
        <v>2343593543</v>
      </c>
    </row>
    <row r="13" spans="1:27" x14ac:dyDescent="0.2">
      <c r="A13" s="572" t="s">
        <v>455</v>
      </c>
      <c r="B13" s="215">
        <f>SUM(B10:B12)</f>
        <v>0</v>
      </c>
      <c r="C13" s="215">
        <f>SUM(C10:C12)</f>
        <v>48787773</v>
      </c>
      <c r="D13" s="215">
        <f t="shared" ref="D13:W13" si="2">SUM(D10:D12)</f>
        <v>204558332</v>
      </c>
      <c r="E13" s="215">
        <f t="shared" si="2"/>
        <v>145473694</v>
      </c>
      <c r="F13" s="215">
        <f t="shared" si="2"/>
        <v>0</v>
      </c>
      <c r="G13" s="215">
        <f t="shared" si="2"/>
        <v>135789938</v>
      </c>
      <c r="H13" s="215">
        <f t="shared" si="2"/>
        <v>5407741</v>
      </c>
      <c r="I13" s="215">
        <f t="shared" si="2"/>
        <v>709285</v>
      </c>
      <c r="J13" s="215">
        <f t="shared" si="2"/>
        <v>0</v>
      </c>
      <c r="K13" s="215">
        <f t="shared" si="2"/>
        <v>58007422</v>
      </c>
      <c r="L13" s="215">
        <f t="shared" si="2"/>
        <v>92168698</v>
      </c>
      <c r="M13" s="215">
        <f t="shared" si="2"/>
        <v>0</v>
      </c>
      <c r="N13" s="215">
        <f t="shared" si="2"/>
        <v>39575164</v>
      </c>
      <c r="O13" s="215">
        <f t="shared" si="2"/>
        <v>0</v>
      </c>
      <c r="P13" s="215">
        <f t="shared" si="2"/>
        <v>0</v>
      </c>
      <c r="Q13" s="215">
        <f t="shared" si="2"/>
        <v>3339805444</v>
      </c>
      <c r="R13" s="215">
        <f t="shared" si="2"/>
        <v>361426687</v>
      </c>
      <c r="S13" s="215">
        <f t="shared" si="2"/>
        <v>541193718</v>
      </c>
      <c r="T13" s="215">
        <f t="shared" si="2"/>
        <v>0</v>
      </c>
      <c r="U13" s="215">
        <f t="shared" si="2"/>
        <v>1776964</v>
      </c>
      <c r="V13" s="215">
        <f t="shared" si="2"/>
        <v>341392000</v>
      </c>
      <c r="W13" s="215">
        <f t="shared" si="2"/>
        <v>51006374</v>
      </c>
      <c r="Y13" s="215">
        <f>SUM(Y10:Y12)</f>
        <v>5367079234</v>
      </c>
      <c r="Z13" s="816">
        <f>SUM(Z10:Z12)</f>
        <v>2959141599</v>
      </c>
      <c r="AA13" s="818">
        <f>SUM(AA10:AA12)</f>
        <v>2407937635</v>
      </c>
    </row>
    <row r="14" spans="1:27" x14ac:dyDescent="0.2">
      <c r="A14" s="572"/>
      <c r="B14" s="214"/>
      <c r="C14" s="214"/>
      <c r="D14" s="214"/>
      <c r="E14" s="214"/>
      <c r="F14" s="214"/>
      <c r="G14" s="214"/>
      <c r="H14" s="214"/>
      <c r="I14" s="214"/>
      <c r="J14" s="214"/>
      <c r="K14" s="214"/>
      <c r="L14" s="214"/>
      <c r="M14" s="214"/>
      <c r="N14" s="214"/>
      <c r="O14" s="214"/>
      <c r="P14" s="214"/>
      <c r="Q14" s="214"/>
      <c r="R14" s="214"/>
      <c r="S14" s="214"/>
      <c r="T14" s="214"/>
      <c r="U14" s="214"/>
      <c r="V14" s="214"/>
      <c r="W14" s="214"/>
      <c r="Z14" s="815"/>
      <c r="AA14" s="815"/>
    </row>
    <row r="15" spans="1:27" x14ac:dyDescent="0.2">
      <c r="A15" s="572" t="s">
        <v>816</v>
      </c>
      <c r="B15" s="571"/>
      <c r="C15" s="888">
        <v>0</v>
      </c>
      <c r="D15" s="888">
        <v>0</v>
      </c>
      <c r="E15" s="888">
        <v>0</v>
      </c>
      <c r="F15" s="888">
        <v>0</v>
      </c>
      <c r="G15" s="888">
        <v>0</v>
      </c>
      <c r="H15" s="888">
        <v>0</v>
      </c>
      <c r="I15" s="888">
        <v>0</v>
      </c>
      <c r="J15" s="888">
        <v>0</v>
      </c>
      <c r="K15" s="888">
        <v>0</v>
      </c>
      <c r="L15" s="888">
        <v>0</v>
      </c>
      <c r="M15" s="888">
        <v>0</v>
      </c>
      <c r="N15" s="888">
        <v>0</v>
      </c>
      <c r="O15" s="888">
        <v>0</v>
      </c>
      <c r="P15" s="888">
        <v>0</v>
      </c>
      <c r="Q15" s="888">
        <v>0</v>
      </c>
      <c r="R15" s="888">
        <v>0</v>
      </c>
      <c r="S15" s="888">
        <v>0</v>
      </c>
      <c r="T15" s="888">
        <v>0</v>
      </c>
      <c r="U15" s="888">
        <v>0</v>
      </c>
      <c r="V15" s="888">
        <v>0</v>
      </c>
      <c r="W15" s="888">
        <v>0</v>
      </c>
      <c r="Y15" s="568">
        <f t="shared" ref="Y15:Y21" si="3">SUM(C15:W15)</f>
        <v>0</v>
      </c>
      <c r="Z15" s="815">
        <v>0</v>
      </c>
      <c r="AA15" s="815">
        <f t="shared" ref="AA15:AA28" si="4">Y15-Z15</f>
        <v>0</v>
      </c>
    </row>
    <row r="16" spans="1:27" x14ac:dyDescent="0.2">
      <c r="A16" s="572" t="s">
        <v>716</v>
      </c>
      <c r="B16" s="571"/>
      <c r="C16" s="888">
        <v>1384877</v>
      </c>
      <c r="D16" s="888">
        <v>1050095</v>
      </c>
      <c r="E16" s="888">
        <v>1028144</v>
      </c>
      <c r="F16" s="888">
        <v>0</v>
      </c>
      <c r="G16" s="888">
        <v>0</v>
      </c>
      <c r="H16" s="888">
        <v>42757</v>
      </c>
      <c r="I16" s="888">
        <v>0</v>
      </c>
      <c r="J16" s="888">
        <v>0</v>
      </c>
      <c r="K16" s="888">
        <v>374448</v>
      </c>
      <c r="L16" s="888">
        <v>0</v>
      </c>
      <c r="M16" s="888">
        <v>0</v>
      </c>
      <c r="N16" s="888">
        <v>0</v>
      </c>
      <c r="O16" s="888">
        <v>362814</v>
      </c>
      <c r="P16" s="888">
        <v>0</v>
      </c>
      <c r="Q16" s="888">
        <v>788514</v>
      </c>
      <c r="R16" s="888">
        <v>708030</v>
      </c>
      <c r="S16" s="888">
        <v>0</v>
      </c>
      <c r="T16" s="888">
        <v>480496</v>
      </c>
      <c r="U16" s="888">
        <v>0</v>
      </c>
      <c r="V16" s="888">
        <v>0</v>
      </c>
      <c r="W16" s="888">
        <v>0</v>
      </c>
      <c r="Y16" s="568">
        <f>SUM(C16:W16)</f>
        <v>6220175</v>
      </c>
      <c r="Z16" s="815">
        <v>33536190</v>
      </c>
      <c r="AA16" s="815">
        <f t="shared" si="4"/>
        <v>-27316015</v>
      </c>
    </row>
    <row r="17" spans="1:27" ht="24" x14ac:dyDescent="0.2">
      <c r="A17" s="715" t="s">
        <v>1599</v>
      </c>
      <c r="B17" s="571"/>
      <c r="C17" s="888">
        <v>0</v>
      </c>
      <c r="D17" s="1131">
        <f>17901303+4911</f>
        <v>17906214</v>
      </c>
      <c r="E17" s="888">
        <v>72827583</v>
      </c>
      <c r="F17" s="888">
        <v>0</v>
      </c>
      <c r="G17" s="888">
        <v>14584285</v>
      </c>
      <c r="H17" s="888">
        <v>43875</v>
      </c>
      <c r="I17" s="888">
        <v>912246</v>
      </c>
      <c r="J17" s="888">
        <v>0</v>
      </c>
      <c r="K17" s="888">
        <v>0</v>
      </c>
      <c r="L17" s="888">
        <v>0</v>
      </c>
      <c r="M17" s="888">
        <v>0</v>
      </c>
      <c r="N17" s="888">
        <v>0</v>
      </c>
      <c r="O17" s="888">
        <v>0</v>
      </c>
      <c r="P17" s="888">
        <v>0</v>
      </c>
      <c r="Q17" s="888">
        <v>0</v>
      </c>
      <c r="R17" s="888">
        <v>0</v>
      </c>
      <c r="S17" s="888">
        <v>0</v>
      </c>
      <c r="T17" s="888">
        <v>0</v>
      </c>
      <c r="U17" s="888">
        <v>0</v>
      </c>
      <c r="V17" s="888">
        <v>10560000</v>
      </c>
      <c r="W17" s="888">
        <v>0</v>
      </c>
      <c r="Y17" s="568">
        <f>SUM(C17:W17)</f>
        <v>116834203</v>
      </c>
      <c r="Z17" s="815"/>
      <c r="AA17" s="815"/>
    </row>
    <row r="18" spans="1:27" x14ac:dyDescent="0.2">
      <c r="A18" s="714" t="s">
        <v>963</v>
      </c>
      <c r="B18" s="571"/>
      <c r="C18" s="888">
        <v>34952412</v>
      </c>
      <c r="D18" s="888">
        <v>83864611</v>
      </c>
      <c r="E18" s="888">
        <v>168980232</v>
      </c>
      <c r="F18" s="888">
        <v>0</v>
      </c>
      <c r="G18" s="888">
        <v>126928466</v>
      </c>
      <c r="H18" s="888">
        <v>28329235</v>
      </c>
      <c r="I18" s="888">
        <v>22969482</v>
      </c>
      <c r="J18" s="888">
        <v>1013883</v>
      </c>
      <c r="K18" s="888">
        <v>41321194</v>
      </c>
      <c r="L18" s="888">
        <v>99971183</v>
      </c>
      <c r="M18" s="888">
        <v>0</v>
      </c>
      <c r="N18" s="888">
        <v>55467946</v>
      </c>
      <c r="O18" s="888">
        <v>2267395</v>
      </c>
      <c r="P18" s="888">
        <v>1139143</v>
      </c>
      <c r="Q18" s="888">
        <v>385339145</v>
      </c>
      <c r="R18" s="888">
        <v>254213955</v>
      </c>
      <c r="S18" s="888">
        <v>14768926</v>
      </c>
      <c r="T18" s="888">
        <v>343025494</v>
      </c>
      <c r="U18" s="888">
        <v>19852885</v>
      </c>
      <c r="V18" s="888">
        <v>284863000</v>
      </c>
      <c r="W18" s="888">
        <v>40788913</v>
      </c>
      <c r="Y18" s="568">
        <f t="shared" si="3"/>
        <v>2010057500</v>
      </c>
      <c r="Z18" s="815">
        <v>2751229000</v>
      </c>
      <c r="AA18" s="815">
        <f t="shared" si="4"/>
        <v>-741171500</v>
      </c>
    </row>
    <row r="19" spans="1:27" x14ac:dyDescent="0.2">
      <c r="A19" s="714" t="s">
        <v>1371</v>
      </c>
      <c r="B19" s="571"/>
      <c r="C19" s="888">
        <v>10612449</v>
      </c>
      <c r="D19" s="888">
        <v>33283986</v>
      </c>
      <c r="E19" s="888">
        <v>68067364</v>
      </c>
      <c r="F19" s="888">
        <v>0</v>
      </c>
      <c r="G19" s="888">
        <v>34751111</v>
      </c>
      <c r="H19" s="888">
        <v>8094884</v>
      </c>
      <c r="I19" s="888">
        <v>7352881</v>
      </c>
      <c r="J19" s="1131">
        <f>105455+67531</f>
        <v>172986</v>
      </c>
      <c r="K19" s="888">
        <v>9637160</v>
      </c>
      <c r="L19" s="888">
        <v>30781955</v>
      </c>
      <c r="M19" s="888">
        <v>62974</v>
      </c>
      <c r="N19" s="888">
        <v>14107088</v>
      </c>
      <c r="O19" s="888">
        <v>392080</v>
      </c>
      <c r="P19" s="888">
        <v>185730</v>
      </c>
      <c r="Q19" s="888">
        <v>173939618</v>
      </c>
      <c r="R19" s="888">
        <v>85513913</v>
      </c>
      <c r="S19" s="1131">
        <f>3880742-64380</f>
        <v>3816362</v>
      </c>
      <c r="T19" s="888">
        <v>67549667</v>
      </c>
      <c r="U19" s="888">
        <v>6242958</v>
      </c>
      <c r="V19" s="888">
        <v>109586000</v>
      </c>
      <c r="W19" s="888">
        <v>8267432</v>
      </c>
      <c r="Y19" s="568">
        <f t="shared" si="3"/>
        <v>672418598</v>
      </c>
      <c r="Z19" s="815">
        <v>55740327</v>
      </c>
      <c r="AA19" s="815">
        <f t="shared" si="4"/>
        <v>616678271</v>
      </c>
    </row>
    <row r="20" spans="1:27" x14ac:dyDescent="0.2">
      <c r="A20" s="714" t="s">
        <v>1367</v>
      </c>
      <c r="B20" s="571"/>
      <c r="C20" s="888">
        <v>3585032</v>
      </c>
      <c r="D20" s="888">
        <v>9835350</v>
      </c>
      <c r="E20" s="888">
        <v>16423258</v>
      </c>
      <c r="F20" s="888">
        <v>0</v>
      </c>
      <c r="G20" s="888">
        <v>13227004</v>
      </c>
      <c r="H20" s="888">
        <v>2997453</v>
      </c>
      <c r="I20" s="888">
        <v>2459358</v>
      </c>
      <c r="J20" s="1131">
        <v>61081</v>
      </c>
      <c r="K20" s="888">
        <v>3086589</v>
      </c>
      <c r="L20" s="1131">
        <f>8953325+200034</f>
        <v>9153359</v>
      </c>
      <c r="M20" s="888">
        <v>0</v>
      </c>
      <c r="N20" s="888">
        <v>5277152</v>
      </c>
      <c r="O20" s="888">
        <v>145085</v>
      </c>
      <c r="P20" s="888">
        <v>66446</v>
      </c>
      <c r="Q20" s="888">
        <v>19684596</v>
      </c>
      <c r="R20" s="888">
        <v>25414915</v>
      </c>
      <c r="S20" s="888">
        <v>923623</v>
      </c>
      <c r="T20" s="888">
        <v>24066524</v>
      </c>
      <c r="U20" s="888">
        <v>2392891</v>
      </c>
      <c r="V20" s="888">
        <v>33126000</v>
      </c>
      <c r="W20" s="888">
        <v>2586189</v>
      </c>
      <c r="Y20" s="568">
        <f t="shared" si="3"/>
        <v>174511905</v>
      </c>
      <c r="Z20" s="815"/>
      <c r="AA20" s="815"/>
    </row>
    <row r="21" spans="1:27" x14ac:dyDescent="0.2">
      <c r="A21" s="572" t="s">
        <v>82</v>
      </c>
      <c r="B21" s="571"/>
      <c r="C21" s="888">
        <v>0</v>
      </c>
      <c r="D21" s="888">
        <v>0</v>
      </c>
      <c r="E21" s="888">
        <v>0</v>
      </c>
      <c r="F21" s="888">
        <v>0</v>
      </c>
      <c r="G21" s="888">
        <v>0</v>
      </c>
      <c r="H21" s="888">
        <v>0</v>
      </c>
      <c r="I21" s="888">
        <v>0</v>
      </c>
      <c r="J21" s="888">
        <v>0</v>
      </c>
      <c r="K21" s="888">
        <v>0</v>
      </c>
      <c r="L21" s="888">
        <v>0</v>
      </c>
      <c r="M21" s="888">
        <v>0</v>
      </c>
      <c r="N21" s="888">
        <v>0</v>
      </c>
      <c r="O21" s="888">
        <v>0</v>
      </c>
      <c r="P21" s="888">
        <v>0</v>
      </c>
      <c r="Q21" s="888">
        <v>109379799</v>
      </c>
      <c r="R21" s="888">
        <v>0</v>
      </c>
      <c r="S21" s="888">
        <v>0</v>
      </c>
      <c r="T21" s="888">
        <v>0</v>
      </c>
      <c r="U21" s="888">
        <v>0</v>
      </c>
      <c r="V21" s="888">
        <v>4210000</v>
      </c>
      <c r="W21" s="888">
        <v>0</v>
      </c>
      <c r="Y21" s="568">
        <f t="shared" si="3"/>
        <v>113589799</v>
      </c>
      <c r="Z21" s="815">
        <v>39725853</v>
      </c>
      <c r="AA21" s="815">
        <f t="shared" si="4"/>
        <v>73863946</v>
      </c>
    </row>
    <row r="22" spans="1:27" x14ac:dyDescent="0.2">
      <c r="A22" s="572" t="s">
        <v>807</v>
      </c>
      <c r="B22" s="280"/>
      <c r="C22" s="280"/>
      <c r="D22" s="280"/>
      <c r="E22" s="280"/>
      <c r="F22" s="280"/>
      <c r="G22" s="280"/>
      <c r="H22" s="280"/>
      <c r="I22" s="280"/>
      <c r="J22" s="280"/>
      <c r="K22" s="280"/>
      <c r="L22" s="280"/>
      <c r="M22" s="280"/>
      <c r="N22" s="280"/>
      <c r="O22" s="280"/>
      <c r="P22" s="280"/>
      <c r="Q22" s="280"/>
      <c r="R22" s="280"/>
      <c r="S22" s="280"/>
      <c r="T22" s="280"/>
      <c r="U22" s="280"/>
      <c r="V22" s="280"/>
      <c r="W22" s="280"/>
      <c r="Z22" s="815"/>
      <c r="AA22" s="815"/>
    </row>
    <row r="23" spans="1:27" x14ac:dyDescent="0.2">
      <c r="A23" s="663"/>
      <c r="B23" s="281"/>
      <c r="C23" s="281"/>
      <c r="D23" s="281"/>
      <c r="E23" s="281"/>
      <c r="F23" s="281"/>
      <c r="G23" s="281"/>
      <c r="H23" s="281"/>
      <c r="I23" s="281"/>
      <c r="J23" s="281"/>
      <c r="K23" s="281"/>
      <c r="L23" s="281"/>
      <c r="M23" s="281"/>
      <c r="N23" s="281"/>
      <c r="O23" s="281"/>
      <c r="P23" s="281"/>
      <c r="Q23" s="281"/>
      <c r="R23" s="281"/>
      <c r="S23" s="281"/>
      <c r="T23" s="281"/>
      <c r="U23" s="281"/>
      <c r="V23" s="281"/>
      <c r="W23" s="281"/>
      <c r="Y23" s="568">
        <f t="shared" ref="Y23:Y27" si="5">SUM(C23:W23)</f>
        <v>0</v>
      </c>
      <c r="Z23" s="819"/>
      <c r="AA23" s="819"/>
    </row>
    <row r="24" spans="1:27" x14ac:dyDescent="0.2">
      <c r="A24" s="663"/>
      <c r="B24" s="281"/>
      <c r="C24" s="281"/>
      <c r="D24" s="281"/>
      <c r="E24" s="281"/>
      <c r="F24" s="281"/>
      <c r="G24" s="281"/>
      <c r="H24" s="281"/>
      <c r="I24" s="281"/>
      <c r="J24" s="281"/>
      <c r="K24" s="281"/>
      <c r="L24" s="281"/>
      <c r="M24" s="281"/>
      <c r="N24" s="281"/>
      <c r="O24" s="281"/>
      <c r="P24" s="281"/>
      <c r="Q24" s="281"/>
      <c r="R24" s="281"/>
      <c r="S24" s="281"/>
      <c r="T24" s="281"/>
      <c r="U24" s="281"/>
      <c r="V24" s="281"/>
      <c r="W24" s="281"/>
      <c r="Y24" s="568">
        <f t="shared" si="5"/>
        <v>0</v>
      </c>
      <c r="Z24" s="819"/>
      <c r="AA24" s="819"/>
    </row>
    <row r="25" spans="1:27" x14ac:dyDescent="0.2">
      <c r="A25" s="663"/>
      <c r="B25" s="281"/>
      <c r="C25" s="281"/>
      <c r="D25" s="281"/>
      <c r="E25" s="281"/>
      <c r="F25" s="281"/>
      <c r="G25" s="281"/>
      <c r="H25" s="281"/>
      <c r="I25" s="281"/>
      <c r="J25" s="281"/>
      <c r="K25" s="281"/>
      <c r="L25" s="281"/>
      <c r="M25" s="281"/>
      <c r="N25" s="281"/>
      <c r="O25" s="281"/>
      <c r="P25" s="281"/>
      <c r="Q25" s="281"/>
      <c r="R25" s="281"/>
      <c r="S25" s="281"/>
      <c r="T25" s="281"/>
      <c r="U25" s="281"/>
      <c r="V25" s="281"/>
      <c r="W25" s="281"/>
      <c r="Y25" s="568">
        <f t="shared" si="5"/>
        <v>0</v>
      </c>
      <c r="Z25" s="819"/>
      <c r="AA25" s="819"/>
    </row>
    <row r="26" spans="1:27" x14ac:dyDescent="0.2">
      <c r="A26" s="663"/>
      <c r="B26" s="281"/>
      <c r="C26" s="281"/>
      <c r="D26" s="281"/>
      <c r="E26" s="281"/>
      <c r="F26" s="281"/>
      <c r="G26" s="281"/>
      <c r="H26" s="281"/>
      <c r="I26" s="281"/>
      <c r="J26" s="281"/>
      <c r="K26" s="281"/>
      <c r="L26" s="281"/>
      <c r="M26" s="281"/>
      <c r="N26" s="281"/>
      <c r="O26" s="281"/>
      <c r="P26" s="281"/>
      <c r="Q26" s="281"/>
      <c r="R26" s="281"/>
      <c r="S26" s="281"/>
      <c r="T26" s="281"/>
      <c r="U26" s="281"/>
      <c r="V26" s="281"/>
      <c r="W26" s="281"/>
      <c r="Y26" s="568">
        <f t="shared" si="5"/>
        <v>0</v>
      </c>
      <c r="Z26" s="819"/>
      <c r="AA26" s="819"/>
    </row>
    <row r="27" spans="1:27" x14ac:dyDescent="0.2">
      <c r="A27" s="663"/>
      <c r="B27" s="281"/>
      <c r="C27" s="281"/>
      <c r="D27" s="281"/>
      <c r="E27" s="281"/>
      <c r="F27" s="281"/>
      <c r="G27" s="281"/>
      <c r="H27" s="281"/>
      <c r="I27" s="281"/>
      <c r="J27" s="281"/>
      <c r="K27" s="281"/>
      <c r="L27" s="281"/>
      <c r="M27" s="281"/>
      <c r="N27" s="281"/>
      <c r="O27" s="281"/>
      <c r="P27" s="281"/>
      <c r="Q27" s="281"/>
      <c r="R27" s="281"/>
      <c r="S27" s="281"/>
      <c r="T27" s="281"/>
      <c r="U27" s="281"/>
      <c r="V27" s="281"/>
      <c r="W27" s="281"/>
      <c r="Y27" s="664">
        <f t="shared" si="5"/>
        <v>0</v>
      </c>
      <c r="Z27" s="820"/>
      <c r="AA27" s="820"/>
    </row>
    <row r="28" spans="1:27" x14ac:dyDescent="0.2">
      <c r="A28" s="572" t="s">
        <v>604</v>
      </c>
      <c r="B28" s="571"/>
      <c r="C28" s="571">
        <v>0</v>
      </c>
      <c r="D28" s="571">
        <v>322253</v>
      </c>
      <c r="E28" s="571">
        <v>1954271</v>
      </c>
      <c r="F28" s="571">
        <v>0</v>
      </c>
      <c r="G28" s="571">
        <v>13802368</v>
      </c>
      <c r="H28" s="1131">
        <f>21267123-575000</f>
        <v>20692123</v>
      </c>
      <c r="I28" s="571">
        <v>0</v>
      </c>
      <c r="J28" s="571">
        <v>0</v>
      </c>
      <c r="K28" s="571">
        <v>44850</v>
      </c>
      <c r="L28" s="571">
        <v>0</v>
      </c>
      <c r="M28" s="571">
        <v>0</v>
      </c>
      <c r="N28" s="571">
        <v>5984282</v>
      </c>
      <c r="O28" s="571">
        <v>0</v>
      </c>
      <c r="P28" s="571">
        <v>0</v>
      </c>
      <c r="Q28" s="1131">
        <f>36946955+1805204</f>
        <v>38752159</v>
      </c>
      <c r="R28" s="571">
        <v>4624766</v>
      </c>
      <c r="S28" s="1131">
        <f>0+64380</f>
        <v>64380</v>
      </c>
      <c r="T28" s="571">
        <v>0</v>
      </c>
      <c r="U28" s="571">
        <v>0</v>
      </c>
      <c r="V28" s="571">
        <v>0</v>
      </c>
      <c r="W28" s="571">
        <v>1521882</v>
      </c>
      <c r="Y28" s="568">
        <f>SUM(C28:W28)</f>
        <v>87763334</v>
      </c>
      <c r="Z28" s="821">
        <v>122071478</v>
      </c>
      <c r="AA28" s="815">
        <f t="shared" si="4"/>
        <v>-34308144</v>
      </c>
    </row>
    <row r="29" spans="1:27" ht="13.5" thickBot="1" x14ac:dyDescent="0.25">
      <c r="A29" s="77" t="s">
        <v>238</v>
      </c>
      <c r="B29" s="124">
        <f>SUM(B2:B5,B8,B13,B15:B21,B28)</f>
        <v>0</v>
      </c>
      <c r="C29" s="124">
        <f t="shared" ref="C29:W29" si="6">SUM(C2:C5,C8,C13,C15:C21,C28)</f>
        <v>231675012</v>
      </c>
      <c r="D29" s="124">
        <f t="shared" si="6"/>
        <v>506031796</v>
      </c>
      <c r="E29" s="124">
        <f t="shared" si="6"/>
        <v>816396983</v>
      </c>
      <c r="F29" s="124">
        <f t="shared" si="6"/>
        <v>196116</v>
      </c>
      <c r="G29" s="124">
        <f t="shared" si="6"/>
        <v>624426348</v>
      </c>
      <c r="H29" s="124">
        <f t="shared" si="6"/>
        <v>106947478</v>
      </c>
      <c r="I29" s="124">
        <f t="shared" si="6"/>
        <v>295492813</v>
      </c>
      <c r="J29" s="124">
        <f t="shared" si="6"/>
        <v>1330404</v>
      </c>
      <c r="K29" s="124">
        <f t="shared" si="6"/>
        <v>141827896</v>
      </c>
      <c r="L29" s="124">
        <f>SUM(L2:L5,L8,L13,L15:L21,L28)</f>
        <v>489514906</v>
      </c>
      <c r="M29" s="124">
        <f t="shared" si="6"/>
        <v>239616</v>
      </c>
      <c r="N29" s="124">
        <f t="shared" si="6"/>
        <v>172296990</v>
      </c>
      <c r="O29" s="124">
        <f t="shared" si="6"/>
        <v>3367080</v>
      </c>
      <c r="P29" s="124">
        <f t="shared" si="6"/>
        <v>1572540</v>
      </c>
      <c r="Q29" s="124">
        <f t="shared" si="6"/>
        <v>4409604650</v>
      </c>
      <c r="R29" s="124">
        <f t="shared" si="6"/>
        <v>985531354</v>
      </c>
      <c r="S29" s="124">
        <f t="shared" si="6"/>
        <v>836421187</v>
      </c>
      <c r="T29" s="124">
        <f t="shared" si="6"/>
        <v>576327038</v>
      </c>
      <c r="U29" s="124">
        <f t="shared" si="6"/>
        <v>53128515</v>
      </c>
      <c r="V29" s="124">
        <f t="shared" si="6"/>
        <v>1324443000</v>
      </c>
      <c r="W29" s="124">
        <f t="shared" si="6"/>
        <v>135178573</v>
      </c>
      <c r="Y29" s="124">
        <f>SUM(Y2:Y5,Y8,Y13,Y15:Y21,Y28)</f>
        <v>11711950295</v>
      </c>
      <c r="Z29" s="822">
        <f>SUM(Z2:Z3,Z8,Z13,Z15:Z21,Z28)</f>
        <v>8337286988</v>
      </c>
      <c r="AA29" s="822">
        <f>SUM(AA2:AA3,AA8,AA13,AA15:AA21,AA28)</f>
        <v>2893724208</v>
      </c>
    </row>
    <row r="30" spans="1:27" ht="13.5" thickTop="1" x14ac:dyDescent="0.2">
      <c r="A30" s="135"/>
      <c r="B30" s="218"/>
      <c r="C30" s="218"/>
      <c r="D30" s="218"/>
      <c r="E30" s="218"/>
      <c r="F30" s="218"/>
      <c r="G30" s="218"/>
      <c r="H30" s="218"/>
      <c r="I30" s="218"/>
      <c r="J30" s="218"/>
      <c r="K30" s="218"/>
      <c r="L30" s="218"/>
      <c r="M30" s="218"/>
      <c r="N30" s="218"/>
      <c r="O30" s="218"/>
      <c r="P30" s="218"/>
      <c r="Q30" s="218"/>
      <c r="R30" s="218"/>
      <c r="S30" s="218"/>
      <c r="T30" s="218"/>
      <c r="U30" s="218"/>
      <c r="V30" s="218"/>
      <c r="W30" s="218"/>
      <c r="Z30" s="815"/>
      <c r="AA30" s="815"/>
    </row>
    <row r="31" spans="1:27" x14ac:dyDescent="0.2">
      <c r="A31" s="77" t="s">
        <v>697</v>
      </c>
      <c r="B31" s="594"/>
      <c r="C31" s="989">
        <v>0</v>
      </c>
      <c r="D31" s="989">
        <v>0</v>
      </c>
      <c r="E31" s="989">
        <v>0</v>
      </c>
      <c r="F31" s="989">
        <v>0</v>
      </c>
      <c r="G31" s="989">
        <v>0</v>
      </c>
      <c r="H31" s="989">
        <v>0</v>
      </c>
      <c r="I31" s="989">
        <v>0</v>
      </c>
      <c r="J31" s="989">
        <v>0</v>
      </c>
      <c r="K31" s="989">
        <v>0</v>
      </c>
      <c r="L31" s="989">
        <v>0</v>
      </c>
      <c r="M31" s="989">
        <v>0</v>
      </c>
      <c r="N31" s="989">
        <v>0</v>
      </c>
      <c r="O31" s="989">
        <v>0</v>
      </c>
      <c r="P31" s="989">
        <v>0</v>
      </c>
      <c r="Q31" s="989">
        <v>10436000</v>
      </c>
      <c r="R31" s="989">
        <v>0</v>
      </c>
      <c r="S31" s="989">
        <v>42775047</v>
      </c>
      <c r="T31" s="989">
        <v>0</v>
      </c>
      <c r="U31" s="989">
        <v>0</v>
      </c>
      <c r="V31" s="989">
        <v>0</v>
      </c>
      <c r="W31" s="989">
        <v>0</v>
      </c>
      <c r="Y31" s="568">
        <f>SUM(C31:W31)</f>
        <v>53211047</v>
      </c>
      <c r="Z31" s="815">
        <v>131627353</v>
      </c>
      <c r="AA31" s="815">
        <f>Y31-Z31</f>
        <v>-78416306</v>
      </c>
    </row>
    <row r="32" spans="1:27" x14ac:dyDescent="0.2">
      <c r="A32" s="135"/>
      <c r="B32" s="218"/>
      <c r="C32" s="218"/>
      <c r="D32" s="218"/>
      <c r="E32" s="218"/>
      <c r="F32" s="218"/>
      <c r="G32" s="218"/>
      <c r="H32" s="218"/>
      <c r="I32" s="218"/>
      <c r="J32" s="218"/>
      <c r="K32" s="218"/>
      <c r="L32" s="218"/>
      <c r="M32" s="218"/>
      <c r="N32" s="218"/>
      <c r="O32" s="218"/>
      <c r="P32" s="218"/>
      <c r="Q32" s="218"/>
      <c r="R32" s="218"/>
      <c r="S32" s="218"/>
      <c r="T32" s="218"/>
      <c r="U32" s="218"/>
      <c r="V32" s="218"/>
      <c r="W32" s="218"/>
    </row>
    <row r="33" spans="1:27" ht="66" customHeight="1" x14ac:dyDescent="0.2">
      <c r="A33" s="546"/>
      <c r="B33" s="546"/>
    </row>
    <row r="34" spans="1:27" x14ac:dyDescent="0.2">
      <c r="A34" s="219" t="s">
        <v>211</v>
      </c>
      <c r="B34" s="546"/>
    </row>
    <row r="35" spans="1:27" x14ac:dyDescent="0.2">
      <c r="A35" s="135"/>
      <c r="C35" s="134"/>
      <c r="D35" s="134"/>
      <c r="E35" s="134"/>
      <c r="F35" s="134"/>
      <c r="G35" s="134"/>
      <c r="H35" s="134"/>
      <c r="I35" s="134"/>
      <c r="J35" s="134"/>
      <c r="K35" s="134"/>
      <c r="L35" s="134"/>
      <c r="M35" s="134"/>
      <c r="N35" s="134"/>
      <c r="O35" s="134"/>
      <c r="P35" s="134"/>
      <c r="Q35" s="134"/>
      <c r="R35" s="134"/>
      <c r="S35" s="134"/>
      <c r="T35" s="134"/>
      <c r="U35" s="134"/>
      <c r="V35" s="134"/>
      <c r="W35" s="134"/>
    </row>
    <row r="36" spans="1:27" s="570" customFormat="1" x14ac:dyDescent="0.2">
      <c r="A36" s="559" t="s">
        <v>578</v>
      </c>
      <c r="B36" s="570" t="str">
        <f>IF(B2=SUM('HEI-PY FST $'!G131,'HEI-PY FST $'!G147),"yes","no")</f>
        <v>yes</v>
      </c>
      <c r="C36" s="570" t="str">
        <f>IF(C2=SUM('HEI-PY FST $'!H131,'HEI-PY FST $'!H147),"yes","no")</f>
        <v>yes</v>
      </c>
      <c r="D36" s="570" t="str">
        <f>IF(D2=SUM('HEI-PY FST $'!I131,'HEI-PY FST $'!I147),"yes","no")</f>
        <v>yes</v>
      </c>
      <c r="E36" s="570" t="str">
        <f>IF(E2=SUM('HEI-PY FST $'!J131,'HEI-PY FST $'!J147),"yes","no")</f>
        <v>yes</v>
      </c>
      <c r="F36" s="570" t="str">
        <f>IF(F2=SUM('HEI-PY FST $'!K131,'HEI-PY FST $'!K147),"yes","no")</f>
        <v>yes</v>
      </c>
      <c r="G36" s="570" t="str">
        <f>IF(G2=SUM('HEI-PY FST $'!L131,'HEI-PY FST $'!L147),"yes","no")</f>
        <v>yes</v>
      </c>
      <c r="H36" s="570" t="str">
        <f>IF(H2=SUM('HEI-PY FST $'!M131,'HEI-PY FST $'!M147),"yes","no")</f>
        <v>yes</v>
      </c>
      <c r="I36" s="570" t="str">
        <f>IF(I2=SUM('HEI-PY FST $'!N131,'HEI-PY FST $'!N147),"yes","no")</f>
        <v>yes</v>
      </c>
      <c r="J36" s="570" t="str">
        <f>IF(J2=SUM('HEI-PY FST $'!O131,'HEI-PY FST $'!O147),"yes","no")</f>
        <v>yes</v>
      </c>
      <c r="K36" s="570" t="str">
        <f>IF(K2=SUM('HEI-PY FST $'!P131,'HEI-PY FST $'!P147),"yes","no")</f>
        <v>yes</v>
      </c>
      <c r="L36" s="570" t="str">
        <f>IF(L2=SUM('HEI-PY FST $'!Q131,'HEI-PY FST $'!Q147),"yes","no")</f>
        <v>yes</v>
      </c>
      <c r="M36" s="570" t="str">
        <f>IF(M2=SUM('HEI-PY FST $'!R131,'HEI-PY FST $'!R147),"yes","no")</f>
        <v>yes</v>
      </c>
      <c r="N36" s="570" t="str">
        <f>IF(N2=SUM('HEI-PY FST $'!S131,'HEI-PY FST $'!S147),"yes","no")</f>
        <v>yes</v>
      </c>
      <c r="O36" s="570" t="str">
        <f>IF(O2=SUM('HEI-PY FST $'!T131,'HEI-PY FST $'!T147),"yes","no")</f>
        <v>yes</v>
      </c>
      <c r="P36" s="570" t="str">
        <f>IF(P2=SUM('HEI-PY FST $'!U131,'HEI-PY FST $'!U147),"yes","no")</f>
        <v>yes</v>
      </c>
      <c r="Q36" s="570" t="str">
        <f>IF(Q2=SUM('HEI-PY FST $'!V131,'HEI-PY FST $'!V147),"yes","no")</f>
        <v>yes</v>
      </c>
      <c r="R36" s="570" t="str">
        <f>IF(R2=SUM('HEI-PY FST $'!W131,'HEI-PY FST $'!W147),"yes","no")</f>
        <v>yes</v>
      </c>
      <c r="S36" s="570" t="str">
        <f>IF(S2=SUM('HEI-PY FST $'!X131,'HEI-PY FST $'!X147),"yes","no")</f>
        <v>yes</v>
      </c>
      <c r="T36" s="570" t="str">
        <f>IF(T2=SUM('HEI-PY FST $'!Y131,'HEI-PY FST $'!Y147),"yes","no")</f>
        <v>yes</v>
      </c>
      <c r="U36" s="570" t="str">
        <f>IF(U2=SUM('HEI-PY FST $'!Z131,'HEI-PY FST $'!Z147),"yes","no")</f>
        <v>yes</v>
      </c>
      <c r="V36" s="570" t="str">
        <f>IF(V2=SUM('HEI-PY FST $'!AA131,'HEI-PY FST $'!AA147),"yes","no")</f>
        <v>yes</v>
      </c>
      <c r="W36" s="570" t="str">
        <f>IF(W2=SUM('HEI-PY FST $'!AB131,'HEI-PY FST $'!AB147),"yes","no")</f>
        <v>yes</v>
      </c>
      <c r="Z36" s="541"/>
      <c r="AA36" s="541"/>
    </row>
    <row r="37" spans="1:27" s="570" customFormat="1" ht="24" x14ac:dyDescent="0.2">
      <c r="A37" s="715" t="s">
        <v>1542</v>
      </c>
      <c r="B37" s="570" t="str">
        <f>IF(B3=SUM('HEI-PY FST $'!G132,'HEI-PY FST $'!G148),"yes","no")</f>
        <v>yes</v>
      </c>
      <c r="C37" s="570" t="str">
        <f>IF(C3=SUM('HEI-PY FST $'!H132,'HEI-PY FST $'!H148),"yes","no")</f>
        <v>yes</v>
      </c>
      <c r="D37" s="570" t="str">
        <f>IF(D3=SUM('HEI-PY FST $'!I132,'HEI-PY FST $'!I148),"yes","no")</f>
        <v>yes</v>
      </c>
      <c r="E37" s="570" t="str">
        <f>IF(E3=SUM('HEI-PY FST $'!J132,'HEI-PY FST $'!J148),"yes","no")</f>
        <v>yes</v>
      </c>
      <c r="F37" s="570" t="str">
        <f>IF(F3=SUM('HEI-PY FST $'!K132,'HEI-PY FST $'!K148),"yes","no")</f>
        <v>yes</v>
      </c>
      <c r="G37" s="570" t="str">
        <f>IF(G3=SUM('HEI-PY FST $'!L132,'HEI-PY FST $'!L148),"yes","no")</f>
        <v>yes</v>
      </c>
      <c r="H37" s="570" t="str">
        <f>IF(H3=SUM('HEI-PY FST $'!M132,'HEI-PY FST $'!M148),"yes","no")</f>
        <v>yes</v>
      </c>
      <c r="I37" s="570" t="str">
        <f>IF(I3=SUM('HEI-PY FST $'!N132,'HEI-PY FST $'!N148),"yes","no")</f>
        <v>yes</v>
      </c>
      <c r="J37" s="570" t="str">
        <f>IF(J3=SUM('HEI-PY FST $'!O132,'HEI-PY FST $'!O148),"yes","no")</f>
        <v>yes</v>
      </c>
      <c r="K37" s="570" t="str">
        <f>IF(K3=SUM('HEI-PY FST $'!P132,'HEI-PY FST $'!P148),"yes","no")</f>
        <v>yes</v>
      </c>
      <c r="L37" s="570" t="str">
        <f>IF(L3=SUM('HEI-PY FST $'!Q132,'HEI-PY FST $'!Q148),"yes","no")</f>
        <v>yes</v>
      </c>
      <c r="M37" s="570" t="str">
        <f>IF(M3=SUM('HEI-PY FST $'!R132,'HEI-PY FST $'!R148),"yes","no")</f>
        <v>yes</v>
      </c>
      <c r="N37" s="570" t="str">
        <f>IF(N3=SUM('HEI-PY FST $'!S132,'HEI-PY FST $'!S148),"yes","no")</f>
        <v>yes</v>
      </c>
      <c r="O37" s="570" t="str">
        <f>IF(O3=SUM('HEI-PY FST $'!T132,'HEI-PY FST $'!T148),"yes","no")</f>
        <v>yes</v>
      </c>
      <c r="P37" s="570" t="str">
        <f>IF(P3=SUM('HEI-PY FST $'!U132,'HEI-PY FST $'!U148),"yes","no")</f>
        <v>yes</v>
      </c>
      <c r="Q37" s="570" t="str">
        <f>IF(Q3=SUM('HEI-PY FST $'!V132,'HEI-PY FST $'!V148),"yes","no")</f>
        <v>yes</v>
      </c>
      <c r="R37" s="570" t="str">
        <f>IF(R3=SUM('HEI-PY FST $'!W132,'HEI-PY FST $'!W148),"yes","no")</f>
        <v>yes</v>
      </c>
      <c r="S37" s="570" t="str">
        <f>IF(S3=SUM('HEI-PY FST $'!X132,'HEI-PY FST $'!X148),"yes","no")</f>
        <v>yes</v>
      </c>
      <c r="T37" s="570" t="str">
        <f>IF(T3=SUM('HEI-PY FST $'!Y132,'HEI-PY FST $'!Y148),"yes","no")</f>
        <v>yes</v>
      </c>
      <c r="U37" s="570" t="str">
        <f>IF(U3=SUM('HEI-PY FST $'!Z132,'HEI-PY FST $'!Z148),"yes","no")</f>
        <v>yes</v>
      </c>
      <c r="V37" s="570" t="str">
        <f>IF(V3=SUM('HEI-PY FST $'!AA132,'HEI-PY FST $'!AA148),"yes","no")</f>
        <v>yes</v>
      </c>
      <c r="W37" s="570" t="str">
        <f>IF(W3=SUM('HEI-PY FST $'!AB132,'HEI-PY FST $'!AB148),"yes","no")</f>
        <v>yes</v>
      </c>
      <c r="Z37" s="541"/>
      <c r="AA37" s="541"/>
    </row>
    <row r="38" spans="1:27" s="570" customFormat="1" ht="35.25" customHeight="1" x14ac:dyDescent="0.2">
      <c r="A38" s="715" t="s">
        <v>1720</v>
      </c>
      <c r="B38" s="570" t="str">
        <f>IF(B4=SUM('HEI-PY FST $'!G133,'HEI-PY FST $'!G149),"yes","no")</f>
        <v>yes</v>
      </c>
      <c r="C38" s="570" t="str">
        <f>IF(C4=SUM('HEI-PY FST $'!H133,'HEI-PY FST $'!H149),"yes","no")</f>
        <v>yes</v>
      </c>
      <c r="D38" s="570" t="str">
        <f>IF(D4=SUM('HEI-PY FST $'!I133,'HEI-PY FST $'!I149),"yes","no")</f>
        <v>yes</v>
      </c>
      <c r="E38" s="570" t="str">
        <f>IF(E4=SUM('HEI-PY FST $'!J133,'HEI-PY FST $'!J149),"yes","no")</f>
        <v>yes</v>
      </c>
      <c r="F38" s="570" t="str">
        <f>IF(F4=SUM('HEI-PY FST $'!K133,'HEI-PY FST $'!K149),"yes","no")</f>
        <v>yes</v>
      </c>
      <c r="G38" s="570" t="str">
        <f>IF(G4=SUM('HEI-PY FST $'!L133,'HEI-PY FST $'!L149),"yes","no")</f>
        <v>yes</v>
      </c>
      <c r="H38" s="570" t="str">
        <f>IF(H4=SUM('HEI-PY FST $'!M133,'HEI-PY FST $'!M149),"yes","no")</f>
        <v>yes</v>
      </c>
      <c r="I38" s="570" t="str">
        <f>IF(I4=SUM('HEI-PY FST $'!N133,'HEI-PY FST $'!N149),"yes","no")</f>
        <v>yes</v>
      </c>
      <c r="J38" s="570" t="str">
        <f>IF(J4=SUM('HEI-PY FST $'!O133,'HEI-PY FST $'!O149),"yes","no")</f>
        <v>yes</v>
      </c>
      <c r="K38" s="570" t="str">
        <f>IF(K4=SUM('HEI-PY FST $'!P133,'HEI-PY FST $'!P149),"yes","no")</f>
        <v>yes</v>
      </c>
      <c r="L38" s="570" t="str">
        <f>IF(L4=SUM('HEI-PY FST $'!Q133,'HEI-PY FST $'!Q149),"yes","no")</f>
        <v>yes</v>
      </c>
      <c r="M38" s="570" t="str">
        <f>IF(M4=SUM('HEI-PY FST $'!R133,'HEI-PY FST $'!R149),"yes","no")</f>
        <v>yes</v>
      </c>
      <c r="N38" s="570" t="str">
        <f>IF(N4=SUM('HEI-PY FST $'!S133,'HEI-PY FST $'!S149),"yes","no")</f>
        <v>yes</v>
      </c>
      <c r="O38" s="570" t="str">
        <f>IF(O4=SUM('HEI-PY FST $'!T133,'HEI-PY FST $'!T149),"yes","no")</f>
        <v>yes</v>
      </c>
      <c r="P38" s="570" t="str">
        <f>IF(P4=SUM('HEI-PY FST $'!U133,'HEI-PY FST $'!U149),"yes","no")</f>
        <v>yes</v>
      </c>
      <c r="Q38" s="570" t="str">
        <f>IF(Q4=SUM('HEI-PY FST $'!V133,'HEI-PY FST $'!V149),"yes","no")</f>
        <v>yes</v>
      </c>
      <c r="R38" s="570" t="str">
        <f>IF(R4=SUM('HEI-PY FST $'!W133,'HEI-PY FST $'!W149),"yes","no")</f>
        <v>yes</v>
      </c>
      <c r="S38" s="570" t="str">
        <f>IF(S4=SUM('HEI-PY FST $'!X133,'HEI-PY FST $'!X149),"yes","no")</f>
        <v>yes</v>
      </c>
      <c r="T38" s="570" t="str">
        <f>IF(T4=SUM('HEI-PY FST $'!Y133,'HEI-PY FST $'!Y149),"yes","no")</f>
        <v>yes</v>
      </c>
      <c r="U38" s="570" t="str">
        <f>IF(U4=SUM('HEI-PY FST $'!Z133,'HEI-PY FST $'!Z149),"yes","no")</f>
        <v>yes</v>
      </c>
      <c r="V38" s="570" t="str">
        <f>IF(V4=SUM('HEI-PY FST $'!AA133,'HEI-PY FST $'!AA149),"yes","no")</f>
        <v>yes</v>
      </c>
      <c r="W38" s="570" t="str">
        <f>IF(W4=SUM('HEI-PY FST $'!AB133,'HEI-PY FST $'!AB149),"yes","no")</f>
        <v>yes</v>
      </c>
      <c r="Z38" s="541"/>
      <c r="AA38" s="541"/>
    </row>
    <row r="39" spans="1:27" s="570" customFormat="1" ht="24" x14ac:dyDescent="0.2">
      <c r="A39" s="715" t="s">
        <v>1544</v>
      </c>
      <c r="B39" s="570" t="str">
        <f>IF(B5=SUM('HEI-PY FST $'!G134,'HEI-PY FST $'!G150),"yes","no")</f>
        <v>yes</v>
      </c>
      <c r="C39" s="570" t="str">
        <f>IF(C5=SUM('HEI-PY FST $'!H134,'HEI-PY FST $'!H150),"yes","no")</f>
        <v>yes</v>
      </c>
      <c r="D39" s="570" t="str">
        <f>IF(D5=SUM('HEI-PY FST $'!I134,'HEI-PY FST $'!I150),"yes","no")</f>
        <v>yes</v>
      </c>
      <c r="E39" s="570" t="str">
        <f>IF(E5=SUM('HEI-PY FST $'!J134,'HEI-PY FST $'!J150),"yes","no")</f>
        <v>yes</v>
      </c>
      <c r="F39" s="570" t="str">
        <f>IF(F5=SUM('HEI-PY FST $'!K134,'HEI-PY FST $'!K150),"yes","no")</f>
        <v>yes</v>
      </c>
      <c r="G39" s="570" t="str">
        <f>IF(G5=SUM('HEI-PY FST $'!L134,'HEI-PY FST $'!L150),"yes","no")</f>
        <v>yes</v>
      </c>
      <c r="H39" s="570" t="str">
        <f>IF(H5=SUM('HEI-PY FST $'!M134,'HEI-PY FST $'!M150),"yes","no")</f>
        <v>yes</v>
      </c>
      <c r="I39" s="570" t="str">
        <f>IF(I5=SUM('HEI-PY FST $'!N134,'HEI-PY FST $'!N150),"yes","no")</f>
        <v>yes</v>
      </c>
      <c r="J39" s="570" t="str">
        <f>IF(J5=SUM('HEI-PY FST $'!O134,'HEI-PY FST $'!O150),"yes","no")</f>
        <v>yes</v>
      </c>
      <c r="K39" s="570" t="str">
        <f>IF(K5=SUM('HEI-PY FST $'!P134,'HEI-PY FST $'!P150),"yes","no")</f>
        <v>yes</v>
      </c>
      <c r="L39" s="570" t="str">
        <f>IF(L5=SUM('HEI-PY FST $'!Q134,'HEI-PY FST $'!Q150),"yes","no")</f>
        <v>yes</v>
      </c>
      <c r="M39" s="570" t="str">
        <f>IF(M5=SUM('HEI-PY FST $'!R134,'HEI-PY FST $'!R150),"yes","no")</f>
        <v>yes</v>
      </c>
      <c r="N39" s="570" t="str">
        <f>IF(N5=SUM('HEI-PY FST $'!S134,'HEI-PY FST $'!S150),"yes","no")</f>
        <v>yes</v>
      </c>
      <c r="O39" s="570" t="str">
        <f>IF(O5=SUM('HEI-PY FST $'!T134,'HEI-PY FST $'!T150),"yes","no")</f>
        <v>yes</v>
      </c>
      <c r="P39" s="570" t="str">
        <f>IF(P5=SUM('HEI-PY FST $'!U134,'HEI-PY FST $'!U150),"yes","no")</f>
        <v>yes</v>
      </c>
      <c r="Q39" s="570" t="str">
        <f>IF(Q5=SUM('HEI-PY FST $'!V134,'HEI-PY FST $'!V150),"yes","no")</f>
        <v>yes</v>
      </c>
      <c r="R39" s="570" t="str">
        <f>IF(R5=SUM('HEI-PY FST $'!W134,'HEI-PY FST $'!W150),"yes","no")</f>
        <v>yes</v>
      </c>
      <c r="S39" s="570" t="str">
        <f>IF(S5=SUM('HEI-PY FST $'!X134,'HEI-PY FST $'!X150),"yes","no")</f>
        <v>yes</v>
      </c>
      <c r="T39" s="570" t="str">
        <f>IF(T5=SUM('HEI-PY FST $'!Y134,'HEI-PY FST $'!Y150),"yes","no")</f>
        <v>yes</v>
      </c>
      <c r="U39" s="570" t="str">
        <f>IF(U5=SUM('HEI-PY FST $'!Z134,'HEI-PY FST $'!Z150),"yes","no")</f>
        <v>yes</v>
      </c>
      <c r="V39" s="570" t="str">
        <f>IF(V5=SUM('HEI-PY FST $'!AA134,'HEI-PY FST $'!AA150),"yes","no")</f>
        <v>yes</v>
      </c>
      <c r="W39" s="570" t="str">
        <f>IF(W5=SUM('HEI-PY FST $'!AB134,'HEI-PY FST $'!AB150),"yes","no")</f>
        <v>yes</v>
      </c>
      <c r="Z39" s="541"/>
      <c r="AA39" s="541"/>
    </row>
    <row r="40" spans="1:27" s="570" customFormat="1" x14ac:dyDescent="0.2">
      <c r="A40" s="559" t="s">
        <v>427</v>
      </c>
      <c r="B40" s="570" t="str">
        <f>IF(B8=SUM('HEI-PY FST $'!G135,'HEI-PY FST $'!G151),"yes","no")</f>
        <v>yes</v>
      </c>
      <c r="C40" s="570" t="str">
        <f>IF(C8=SUM('HEI-PY FST $'!H135,'HEI-PY FST $'!H151),"yes","no")</f>
        <v>yes</v>
      </c>
      <c r="D40" s="570" t="str">
        <f>IF(D8=SUM('HEI-PY FST $'!I135,'HEI-PY FST $'!I151),"yes","no")</f>
        <v>yes</v>
      </c>
      <c r="E40" s="570" t="str">
        <f>IF(E8=SUM('HEI-PY FST $'!J135,'HEI-PY FST $'!J151),"yes","no")</f>
        <v>yes</v>
      </c>
      <c r="F40" s="570" t="str">
        <f>IF(F8=SUM('HEI-PY FST $'!K135,'HEI-PY FST $'!K151),"yes","no")</f>
        <v>yes</v>
      </c>
      <c r="G40" s="570" t="str">
        <f>IF(G8=SUM('HEI-PY FST $'!L135,'HEI-PY FST $'!L151),"yes","no")</f>
        <v>yes</v>
      </c>
      <c r="H40" s="570" t="str">
        <f>IF(H8=SUM('HEI-PY FST $'!M135,'HEI-PY FST $'!M151),"yes","no")</f>
        <v>yes</v>
      </c>
      <c r="I40" s="570" t="str">
        <f>IF(I8=SUM('HEI-PY FST $'!N135,'HEI-PY FST $'!N151),"yes","no")</f>
        <v>yes</v>
      </c>
      <c r="J40" s="570" t="str">
        <f>IF(J8=SUM('HEI-PY FST $'!O135,'HEI-PY FST $'!O151),"yes","no")</f>
        <v>yes</v>
      </c>
      <c r="K40" s="570" t="str">
        <f>IF(K8=SUM('HEI-PY FST $'!P135,'HEI-PY FST $'!P151),"yes","no")</f>
        <v>yes</v>
      </c>
      <c r="L40" s="570" t="str">
        <f>IF(L8=SUM('HEI-PY FST $'!Q135,'HEI-PY FST $'!Q151),"yes","no")</f>
        <v>yes</v>
      </c>
      <c r="M40" s="570" t="str">
        <f>IF(M8=SUM('HEI-PY FST $'!R135,'HEI-PY FST $'!R151),"yes","no")</f>
        <v>yes</v>
      </c>
      <c r="N40" s="570" t="str">
        <f>IF(N8=SUM('HEI-PY FST $'!S135,'HEI-PY FST $'!S151),"yes","no")</f>
        <v>yes</v>
      </c>
      <c r="O40" s="570" t="str">
        <f>IF(O8=SUM('HEI-PY FST $'!T135,'HEI-PY FST $'!T151),"yes","no")</f>
        <v>yes</v>
      </c>
      <c r="P40" s="570" t="str">
        <f>IF(P8=SUM('HEI-PY FST $'!U135,'HEI-PY FST $'!U151),"yes","no")</f>
        <v>yes</v>
      </c>
      <c r="Q40" s="570" t="str">
        <f>IF(Q8=SUM('HEI-PY FST $'!V135,'HEI-PY FST $'!V151),"yes","no")</f>
        <v>yes</v>
      </c>
      <c r="R40" s="570" t="str">
        <f>IF(R8=SUM('HEI-PY FST $'!W135,'HEI-PY FST $'!W151),"yes","no")</f>
        <v>yes</v>
      </c>
      <c r="S40" s="570" t="str">
        <f>IF(S8=SUM('HEI-PY FST $'!X135,'HEI-PY FST $'!X151),"yes","no")</f>
        <v>yes</v>
      </c>
      <c r="T40" s="570" t="str">
        <f>IF(T8=SUM('HEI-PY FST $'!Y135,'HEI-PY FST $'!Y151),"yes","no")</f>
        <v>yes</v>
      </c>
      <c r="U40" s="570" t="str">
        <f>IF(U8=SUM('HEI-PY FST $'!Z135,'HEI-PY FST $'!Z151),"yes","no")</f>
        <v>yes</v>
      </c>
      <c r="V40" s="570" t="str">
        <f>IF(V8=SUM('HEI-PY FST $'!AA135,'HEI-PY FST $'!AA151),"yes","no")</f>
        <v>yes</v>
      </c>
      <c r="W40" s="570" t="str">
        <f>IF(W8=SUM('HEI-PY FST $'!AB135,'HEI-PY FST $'!AB151),"yes","no")</f>
        <v>yes</v>
      </c>
      <c r="Z40" s="541"/>
      <c r="AA40" s="541"/>
    </row>
    <row r="41" spans="1:27" s="570" customFormat="1" x14ac:dyDescent="0.2">
      <c r="A41" s="559" t="s">
        <v>116</v>
      </c>
      <c r="B41" s="570" t="str">
        <f>IF(B13=SUM('HEI-PY FST $'!G136,'HEI-PY FST $'!G152),"yes","no")</f>
        <v>yes</v>
      </c>
      <c r="C41" s="570" t="str">
        <f>IF(C13=SUM('HEI-PY FST $'!H136,'HEI-PY FST $'!H152),"yes","no")</f>
        <v>yes</v>
      </c>
      <c r="D41" s="570" t="str">
        <f>IF(D13=SUM('HEI-PY FST $'!I136,'HEI-PY FST $'!I152),"yes","no")</f>
        <v>yes</v>
      </c>
      <c r="E41" s="570" t="str">
        <f>IF(E13=SUM('HEI-PY FST $'!J136,'HEI-PY FST $'!J152),"yes","no")</f>
        <v>yes</v>
      </c>
      <c r="F41" s="570" t="str">
        <f>IF(F13=SUM('HEI-PY FST $'!K136,'HEI-PY FST $'!K152),"yes","no")</f>
        <v>yes</v>
      </c>
      <c r="G41" s="570" t="str">
        <f>IF(G13=SUM('HEI-PY FST $'!L136,'HEI-PY FST $'!L152),"yes","no")</f>
        <v>yes</v>
      </c>
      <c r="H41" s="570" t="str">
        <f>IF(H13=SUM('HEI-PY FST $'!M136,'HEI-PY FST $'!M152),"yes","no")</f>
        <v>yes</v>
      </c>
      <c r="I41" s="570" t="str">
        <f>IF(I13=SUM('HEI-PY FST $'!N136,'HEI-PY FST $'!N152),"yes","no")</f>
        <v>yes</v>
      </c>
      <c r="J41" s="570" t="str">
        <f>IF(J13=SUM('HEI-PY FST $'!O136,'HEI-PY FST $'!O152),"yes","no")</f>
        <v>yes</v>
      </c>
      <c r="K41" s="570" t="str">
        <f>IF(K13=SUM('HEI-PY FST $'!P136,'HEI-PY FST $'!P152),"yes","no")</f>
        <v>yes</v>
      </c>
      <c r="L41" s="570" t="str">
        <f>IF(L13=SUM('HEI-PY FST $'!Q136,'HEI-PY FST $'!Q152),"yes","no")</f>
        <v>yes</v>
      </c>
      <c r="M41" s="570" t="str">
        <f>IF(M13=SUM('HEI-PY FST $'!R136,'HEI-PY FST $'!R152),"yes","no")</f>
        <v>yes</v>
      </c>
      <c r="N41" s="570" t="str">
        <f>IF(N13=SUM('HEI-PY FST $'!S136,'HEI-PY FST $'!S152),"yes","no")</f>
        <v>yes</v>
      </c>
      <c r="O41" s="570" t="str">
        <f>IF(O13=SUM('HEI-PY FST $'!T136,'HEI-PY FST $'!T152),"yes","no")</f>
        <v>yes</v>
      </c>
      <c r="P41" s="570" t="str">
        <f>IF(P13=SUM('HEI-PY FST $'!U136,'HEI-PY FST $'!U152),"yes","no")</f>
        <v>yes</v>
      </c>
      <c r="Q41" s="570" t="str">
        <f>IF(Q13=SUM('HEI-PY FST $'!V136,'HEI-PY FST $'!V152),"yes","no")</f>
        <v>yes</v>
      </c>
      <c r="R41" s="570" t="str">
        <f>IF(R13=SUM('HEI-PY FST $'!W136,'HEI-PY FST $'!W152),"yes","no")</f>
        <v>yes</v>
      </c>
      <c r="S41" s="570" t="str">
        <f>IF(S13=SUM('HEI-PY FST $'!X136,'HEI-PY FST $'!X152),"yes","no")</f>
        <v>yes</v>
      </c>
      <c r="T41" s="570" t="str">
        <f>IF(T13=SUM('HEI-PY FST $'!Y136,'HEI-PY FST $'!Y152),"yes","no")</f>
        <v>yes</v>
      </c>
      <c r="U41" s="570" t="str">
        <f>IF(U13=SUM('HEI-PY FST $'!Z136,'HEI-PY FST $'!Z152),"yes","no")</f>
        <v>yes</v>
      </c>
      <c r="V41" s="570" t="str">
        <f>IF(V13=SUM('HEI-PY FST $'!AA136,'HEI-PY FST $'!AA152),"yes","no")</f>
        <v>yes</v>
      </c>
      <c r="W41" s="570" t="str">
        <f>IF(W13=SUM('HEI-PY FST $'!AB136,'HEI-PY FST $'!AB152),"yes","no")</f>
        <v>yes</v>
      </c>
      <c r="Z41" s="541"/>
      <c r="AA41" s="541"/>
    </row>
    <row r="42" spans="1:27" s="570" customFormat="1" x14ac:dyDescent="0.2">
      <c r="A42" s="559" t="s">
        <v>816</v>
      </c>
      <c r="B42" s="570" t="str">
        <f>IF(B15=SUM('HEI-PY FST $'!G137,'HEI-PY FST $'!G153),"yes","no")</f>
        <v>yes</v>
      </c>
      <c r="C42" s="570" t="str">
        <f>IF(C15=SUM('HEI-PY FST $'!H137,'HEI-PY FST $'!H153),"yes","no")</f>
        <v>yes</v>
      </c>
      <c r="D42" s="570" t="str">
        <f>IF(D15=SUM('HEI-PY FST $'!I137,'HEI-PY FST $'!I153),"yes","no")</f>
        <v>yes</v>
      </c>
      <c r="E42" s="570" t="str">
        <f>IF(E15=SUM('HEI-PY FST $'!J137,'HEI-PY FST $'!J153),"yes","no")</f>
        <v>yes</v>
      </c>
      <c r="F42" s="570" t="str">
        <f>IF(F15=SUM('HEI-PY FST $'!K137,'HEI-PY FST $'!K153),"yes","no")</f>
        <v>yes</v>
      </c>
      <c r="G42" s="570" t="str">
        <f>IF(G15=SUM('HEI-PY FST $'!L137,'HEI-PY FST $'!L153),"yes","no")</f>
        <v>yes</v>
      </c>
      <c r="H42" s="570" t="str">
        <f>IF(H15=SUM('HEI-PY FST $'!M137,'HEI-PY FST $'!M153),"yes","no")</f>
        <v>yes</v>
      </c>
      <c r="I42" s="570" t="str">
        <f>IF(I15=SUM('HEI-PY FST $'!N137,'HEI-PY FST $'!N153),"yes","no")</f>
        <v>yes</v>
      </c>
      <c r="J42" s="570" t="str">
        <f>IF(J15=SUM('HEI-PY FST $'!O137,'HEI-PY FST $'!O153),"yes","no")</f>
        <v>yes</v>
      </c>
      <c r="K42" s="570" t="str">
        <f>IF(K15=SUM('HEI-PY FST $'!P137,'HEI-PY FST $'!P153),"yes","no")</f>
        <v>yes</v>
      </c>
      <c r="L42" s="570" t="str">
        <f>IF(L15=SUM('HEI-PY FST $'!Q137,'HEI-PY FST $'!Q153),"yes","no")</f>
        <v>yes</v>
      </c>
      <c r="M42" s="570" t="str">
        <f>IF(M15=SUM('HEI-PY FST $'!R137,'HEI-PY FST $'!R153),"yes","no")</f>
        <v>yes</v>
      </c>
      <c r="N42" s="570" t="str">
        <f>IF(N15=SUM('HEI-PY FST $'!S137,'HEI-PY FST $'!S153),"yes","no")</f>
        <v>yes</v>
      </c>
      <c r="O42" s="570" t="str">
        <f>IF(O15=SUM('HEI-PY FST $'!T137,'HEI-PY FST $'!T153),"yes","no")</f>
        <v>yes</v>
      </c>
      <c r="P42" s="570" t="str">
        <f>IF(P15=SUM('HEI-PY FST $'!U137,'HEI-PY FST $'!U153),"yes","no")</f>
        <v>yes</v>
      </c>
      <c r="Q42" s="570" t="str">
        <f>IF(Q15=SUM('HEI-PY FST $'!V137,'HEI-PY FST $'!V153),"yes","no")</f>
        <v>yes</v>
      </c>
      <c r="R42" s="570" t="str">
        <f>IF(R15=SUM('HEI-PY FST $'!W137,'HEI-PY FST $'!W153),"yes","no")</f>
        <v>yes</v>
      </c>
      <c r="S42" s="570" t="str">
        <f>IF(S15=SUM('HEI-PY FST $'!X137,'HEI-PY FST $'!X153),"yes","no")</f>
        <v>yes</v>
      </c>
      <c r="T42" s="570" t="str">
        <f>IF(T15=SUM('HEI-PY FST $'!Y137,'HEI-PY FST $'!Y153),"yes","no")</f>
        <v>yes</v>
      </c>
      <c r="U42" s="570" t="str">
        <f>IF(U15=SUM('HEI-PY FST $'!Z137,'HEI-PY FST $'!Z153),"yes","no")</f>
        <v>yes</v>
      </c>
      <c r="V42" s="570" t="str">
        <f>IF(V15=SUM('HEI-PY FST $'!AA137,'HEI-PY FST $'!AA153),"yes","no")</f>
        <v>yes</v>
      </c>
      <c r="W42" s="570" t="str">
        <f>IF(W15=SUM('HEI-PY FST $'!AB137,'HEI-PY FST $'!AB153),"yes","no")</f>
        <v>yes</v>
      </c>
      <c r="Z42" s="541"/>
      <c r="AA42" s="541"/>
    </row>
    <row r="43" spans="1:27" s="570" customFormat="1" x14ac:dyDescent="0.2">
      <c r="A43" s="559" t="s">
        <v>716</v>
      </c>
      <c r="B43" s="570" t="str">
        <f>IF(B16=SUM('HEI-PY FST $'!G138,'HEI-PY FST $'!G154),"yes","no")</f>
        <v>yes</v>
      </c>
      <c r="C43" s="570" t="str">
        <f>IF(C16=SUM('HEI-PY FST $'!H138,'HEI-PY FST $'!H154),"yes","no")</f>
        <v>yes</v>
      </c>
      <c r="D43" s="570" t="str">
        <f>IF(D16=SUM('HEI-PY FST $'!I138,'HEI-PY FST $'!I154),"yes","no")</f>
        <v>yes</v>
      </c>
      <c r="E43" s="570" t="str">
        <f>IF(E16=SUM('HEI-PY FST $'!J138,'HEI-PY FST $'!J154),"yes","no")</f>
        <v>yes</v>
      </c>
      <c r="F43" s="570" t="str">
        <f>IF(F16=SUM('HEI-PY FST $'!K138,'HEI-PY FST $'!K154),"yes","no")</f>
        <v>yes</v>
      </c>
      <c r="G43" s="570" t="str">
        <f>IF(G16=SUM('HEI-PY FST $'!L138,'HEI-PY FST $'!L154),"yes","no")</f>
        <v>yes</v>
      </c>
      <c r="H43" s="570" t="str">
        <f>IF(H16=SUM('HEI-PY FST $'!M138,'HEI-PY FST $'!M154),"yes","no")</f>
        <v>yes</v>
      </c>
      <c r="I43" s="570" t="str">
        <f>IF(I16=SUM('HEI-PY FST $'!N138,'HEI-PY FST $'!N154),"yes","no")</f>
        <v>yes</v>
      </c>
      <c r="J43" s="570" t="str">
        <f>IF(J16=SUM('HEI-PY FST $'!O138,'HEI-PY FST $'!O154),"yes","no")</f>
        <v>yes</v>
      </c>
      <c r="K43" s="570" t="str">
        <f>IF(K16=SUM('HEI-PY FST $'!P138,'HEI-PY FST $'!P154),"yes","no")</f>
        <v>yes</v>
      </c>
      <c r="L43" s="570" t="str">
        <f>IF(L16=SUM('HEI-PY FST $'!Q138,'HEI-PY FST $'!Q154),"yes","no")</f>
        <v>yes</v>
      </c>
      <c r="M43" s="570" t="str">
        <f>IF(M16=SUM('HEI-PY FST $'!R138,'HEI-PY FST $'!R154),"yes","no")</f>
        <v>yes</v>
      </c>
      <c r="N43" s="570" t="str">
        <f>IF(N16=SUM('HEI-PY FST $'!S138,'HEI-PY FST $'!S154),"yes","no")</f>
        <v>yes</v>
      </c>
      <c r="O43" s="570" t="str">
        <f>IF(O16=SUM('HEI-PY FST $'!T138,'HEI-PY FST $'!T154),"yes","no")</f>
        <v>yes</v>
      </c>
      <c r="P43" s="570" t="str">
        <f>IF(P16=SUM('HEI-PY FST $'!U138,'HEI-PY FST $'!U154),"yes","no")</f>
        <v>yes</v>
      </c>
      <c r="Q43" s="570" t="str">
        <f>IF(Q16=SUM('HEI-PY FST $'!V138,'HEI-PY FST $'!V154),"yes","no")</f>
        <v>yes</v>
      </c>
      <c r="R43" s="570" t="str">
        <f>IF(R16=SUM('HEI-PY FST $'!W138,'HEI-PY FST $'!W154),"yes","no")</f>
        <v>yes</v>
      </c>
      <c r="S43" s="570" t="str">
        <f>IF(S16=SUM('HEI-PY FST $'!X138,'HEI-PY FST $'!X154),"yes","no")</f>
        <v>yes</v>
      </c>
      <c r="T43" s="570" t="str">
        <f>IF(T16=SUM('HEI-PY FST $'!Y138,'HEI-PY FST $'!Y154),"yes","no")</f>
        <v>yes</v>
      </c>
      <c r="U43" s="570" t="str">
        <f>IF(U16=SUM('HEI-PY FST $'!Z138,'HEI-PY FST $'!Z154),"yes","no")</f>
        <v>yes</v>
      </c>
      <c r="V43" s="570" t="str">
        <f>IF(V16=SUM('HEI-PY FST $'!AA138,'HEI-PY FST $'!AA154),"yes","no")</f>
        <v>yes</v>
      </c>
      <c r="W43" s="570" t="str">
        <f>IF(W16=SUM('HEI-PY FST $'!AB138,'HEI-PY FST $'!AB154),"yes","no")</f>
        <v>yes</v>
      </c>
      <c r="Z43" s="541"/>
      <c r="AA43" s="541"/>
    </row>
    <row r="44" spans="1:27" s="570" customFormat="1" ht="24" x14ac:dyDescent="0.2">
      <c r="A44" s="715" t="s">
        <v>1599</v>
      </c>
      <c r="B44" s="570" t="str">
        <f>IF(B17=SUM('HEI-PY FST $'!G139,'HEI-PY FST $'!G155),"yes","no")</f>
        <v>yes</v>
      </c>
      <c r="C44" s="570" t="str">
        <f>IF(C17=SUM('HEI-PY FST $'!H139,'HEI-PY FST $'!H155),"yes","no")</f>
        <v>yes</v>
      </c>
      <c r="D44" s="570" t="str">
        <f>IF(D17=SUM('HEI-PY FST $'!I139,'HEI-PY FST $'!I155),"yes","no")</f>
        <v>yes</v>
      </c>
      <c r="E44" s="570" t="str">
        <f>IF(E17=SUM('HEI-PY FST $'!J139,'HEI-PY FST $'!J155),"yes","no")</f>
        <v>yes</v>
      </c>
      <c r="F44" s="570" t="str">
        <f>IF(F17=SUM('HEI-PY FST $'!K139,'HEI-PY FST $'!K155),"yes","no")</f>
        <v>yes</v>
      </c>
      <c r="G44" s="570" t="str">
        <f>IF(G17=SUM('HEI-PY FST $'!L139,'HEI-PY FST $'!L155),"yes","no")</f>
        <v>yes</v>
      </c>
      <c r="H44" s="570" t="str">
        <f>IF(H17=SUM('HEI-PY FST $'!M139,'HEI-PY FST $'!M155),"yes","no")</f>
        <v>yes</v>
      </c>
      <c r="I44" s="570" t="str">
        <f>IF(I17=SUM('HEI-PY FST $'!N139,'HEI-PY FST $'!N155),"yes","no")</f>
        <v>yes</v>
      </c>
      <c r="J44" s="570" t="str">
        <f>IF(J17=SUM('HEI-PY FST $'!O139,'HEI-PY FST $'!O155),"yes","no")</f>
        <v>yes</v>
      </c>
      <c r="K44" s="570" t="str">
        <f>IF(K17=SUM('HEI-PY FST $'!P139,'HEI-PY FST $'!P155),"yes","no")</f>
        <v>yes</v>
      </c>
      <c r="L44" s="570" t="str">
        <f>IF(L17=SUM('HEI-PY FST $'!Q139,'HEI-PY FST $'!Q155),"yes","no")</f>
        <v>yes</v>
      </c>
      <c r="M44" s="570" t="str">
        <f>IF(M17=SUM('HEI-PY FST $'!R139,'HEI-PY FST $'!R155),"yes","no")</f>
        <v>yes</v>
      </c>
      <c r="N44" s="570" t="str">
        <f>IF(N17=SUM('HEI-PY FST $'!S139,'HEI-PY FST $'!S155),"yes","no")</f>
        <v>yes</v>
      </c>
      <c r="O44" s="570" t="str">
        <f>IF(O17=SUM('HEI-PY FST $'!T139,'HEI-PY FST $'!T155),"yes","no")</f>
        <v>yes</v>
      </c>
      <c r="P44" s="570" t="str">
        <f>IF(P17=SUM('HEI-PY FST $'!U139,'HEI-PY FST $'!U155),"yes","no")</f>
        <v>yes</v>
      </c>
      <c r="Q44" s="570" t="str">
        <f>IF(Q17=SUM('HEI-PY FST $'!V139,'HEI-PY FST $'!V155),"yes","no")</f>
        <v>yes</v>
      </c>
      <c r="R44" s="570" t="str">
        <f>IF(R17=SUM('HEI-PY FST $'!W139,'HEI-PY FST $'!W155),"yes","no")</f>
        <v>yes</v>
      </c>
      <c r="S44" s="570" t="str">
        <f>IF(S17=SUM('HEI-PY FST $'!X139,'HEI-PY FST $'!X155),"yes","no")</f>
        <v>yes</v>
      </c>
      <c r="T44" s="570" t="str">
        <f>IF(T17=SUM('HEI-PY FST $'!Y139,'HEI-PY FST $'!Y155),"yes","no")</f>
        <v>yes</v>
      </c>
      <c r="U44" s="570" t="str">
        <f>IF(U17=SUM('HEI-PY FST $'!Z139,'HEI-PY FST $'!Z155),"yes","no")</f>
        <v>yes</v>
      </c>
      <c r="V44" s="570" t="str">
        <f>IF(V17=SUM('HEI-PY FST $'!AA139,'HEI-PY FST $'!AA155),"yes","no")</f>
        <v>yes</v>
      </c>
      <c r="W44" s="570" t="str">
        <f>IF(W17=SUM('HEI-PY FST $'!AB139,'HEI-PY FST $'!AB155),"yes","no")</f>
        <v>yes</v>
      </c>
      <c r="Z44" s="541"/>
      <c r="AA44" s="541"/>
    </row>
    <row r="45" spans="1:27" s="570" customFormat="1" x14ac:dyDescent="0.2">
      <c r="A45" s="545" t="s">
        <v>1557</v>
      </c>
      <c r="B45" s="570" t="str">
        <f>IF(B18='HEI-PY FST $'!G156,"yes","no")</f>
        <v>yes</v>
      </c>
      <c r="C45" s="570" t="str">
        <f>IF(C18='HEI-PY FST $'!H156,"yes","no")</f>
        <v>yes</v>
      </c>
      <c r="D45" s="570" t="str">
        <f>IF(D18='HEI-PY FST $'!I156,"yes","no")</f>
        <v>yes</v>
      </c>
      <c r="E45" s="570" t="str">
        <f>IF(E18='HEI-PY FST $'!J156,"yes","no")</f>
        <v>yes</v>
      </c>
      <c r="F45" s="570" t="str">
        <f>IF(F18='HEI-PY FST $'!K156,"yes","no")</f>
        <v>yes</v>
      </c>
      <c r="G45" s="570" t="str">
        <f>IF(G18='HEI-PY FST $'!L156,"yes","no")</f>
        <v>yes</v>
      </c>
      <c r="H45" s="570" t="str">
        <f>IF(H18='HEI-PY FST $'!M156,"yes","no")</f>
        <v>yes</v>
      </c>
      <c r="I45" s="570" t="str">
        <f>IF(I18='HEI-PY FST $'!N156,"yes","no")</f>
        <v>yes</v>
      </c>
      <c r="J45" s="570" t="str">
        <f>IF(J18='HEI-PY FST $'!O156,"yes","no")</f>
        <v>yes</v>
      </c>
      <c r="K45" s="570" t="str">
        <f>IF(K18='HEI-PY FST $'!P156,"yes","no")</f>
        <v>yes</v>
      </c>
      <c r="L45" s="570" t="str">
        <f>IF(L18='HEI-PY FST $'!Q156,"yes","no")</f>
        <v>yes</v>
      </c>
      <c r="M45" s="570" t="str">
        <f>IF(M18='HEI-PY FST $'!R156,"yes","no")</f>
        <v>yes</v>
      </c>
      <c r="N45" s="570" t="str">
        <f>IF(N18='HEI-PY FST $'!S156,"yes","no")</f>
        <v>yes</v>
      </c>
      <c r="O45" s="570" t="str">
        <f>IF(O18='HEI-PY FST $'!T156,"yes","no")</f>
        <v>yes</v>
      </c>
      <c r="P45" s="570" t="str">
        <f>IF(P18='HEI-PY FST $'!U156,"yes","no")</f>
        <v>yes</v>
      </c>
      <c r="Q45" s="570" t="str">
        <f>IF(Q18='HEI-PY FST $'!V156,"yes","no")</f>
        <v>yes</v>
      </c>
      <c r="R45" s="570" t="str">
        <f>IF(R18='HEI-PY FST $'!W156,"yes","no")</f>
        <v>yes</v>
      </c>
      <c r="S45" s="570" t="str">
        <f>IF(S18='HEI-PY FST $'!X156,"yes","no")</f>
        <v>yes</v>
      </c>
      <c r="T45" s="570" t="str">
        <f>IF(T18='HEI-PY FST $'!Y156,"yes","no")</f>
        <v>yes</v>
      </c>
      <c r="U45" s="570" t="str">
        <f>IF(U18='HEI-PY FST $'!Z156,"yes","no")</f>
        <v>yes</v>
      </c>
      <c r="V45" s="570" t="str">
        <f>IF(V18='HEI-PY FST $'!AA156,"yes","no")</f>
        <v>yes</v>
      </c>
      <c r="W45" s="570" t="str">
        <f>IF(W18='HEI-PY FST $'!AB156,"yes","no")</f>
        <v>yes</v>
      </c>
      <c r="Z45" s="541"/>
      <c r="AA45" s="541"/>
    </row>
    <row r="46" spans="1:27" s="570" customFormat="1" x14ac:dyDescent="0.2">
      <c r="A46" s="715" t="s">
        <v>1371</v>
      </c>
      <c r="B46" s="570" t="str">
        <f>IF(B19=SUM('HEI-PY FST $'!G157,'HEI-PY FST $'!G140),"yes","no")</f>
        <v>yes</v>
      </c>
      <c r="C46" s="570" t="str">
        <f>IF(C19=SUM('HEI-PY FST $'!H157,'HEI-PY FST $'!H140),"yes","no")</f>
        <v>yes</v>
      </c>
      <c r="D46" s="570" t="str">
        <f>IF(D19=SUM('HEI-PY FST $'!I157,'HEI-PY FST $'!I140),"yes","no")</f>
        <v>yes</v>
      </c>
      <c r="E46" s="570" t="str">
        <f>IF(E19=SUM('HEI-PY FST $'!J157,'HEI-PY FST $'!J140),"yes","no")</f>
        <v>yes</v>
      </c>
      <c r="F46" s="570" t="str">
        <f>IF(F19=SUM('HEI-PY FST $'!K157,'HEI-PY FST $'!K140),"yes","no")</f>
        <v>yes</v>
      </c>
      <c r="G46" s="570" t="str">
        <f>IF(G19=SUM('HEI-PY FST $'!L157,'HEI-PY FST $'!L140),"yes","no")</f>
        <v>yes</v>
      </c>
      <c r="H46" s="570" t="str">
        <f>IF(H19=SUM('HEI-PY FST $'!M157,'HEI-PY FST $'!M140),"yes","no")</f>
        <v>yes</v>
      </c>
      <c r="I46" s="570" t="str">
        <f>IF(I19=SUM('HEI-PY FST $'!N157,'HEI-PY FST $'!N140),"yes","no")</f>
        <v>yes</v>
      </c>
      <c r="J46" s="570" t="str">
        <f>IF(J19=SUM('HEI-PY FST $'!O157,'HEI-PY FST $'!O140),"yes","no")</f>
        <v>yes</v>
      </c>
      <c r="K46" s="570" t="str">
        <f>IF(K19=SUM('HEI-PY FST $'!P157,'HEI-PY FST $'!P140),"yes","no")</f>
        <v>yes</v>
      </c>
      <c r="L46" s="570" t="str">
        <f>IF(L19=SUM('HEI-PY FST $'!Q157,'HEI-PY FST $'!Q140),"yes","no")</f>
        <v>yes</v>
      </c>
      <c r="M46" s="570" t="str">
        <f>IF(M19=SUM('HEI-PY FST $'!R157,'HEI-PY FST $'!R140),"yes","no")</f>
        <v>yes</v>
      </c>
      <c r="N46" s="570" t="str">
        <f>IF(N19=SUM('HEI-PY FST $'!S157,'HEI-PY FST $'!S140),"yes","no")</f>
        <v>yes</v>
      </c>
      <c r="O46" s="570" t="str">
        <f>IF(O19=SUM('HEI-PY FST $'!T157,'HEI-PY FST $'!T140),"yes","no")</f>
        <v>yes</v>
      </c>
      <c r="P46" s="570" t="str">
        <f>IF(P19=SUM('HEI-PY FST $'!U157,'HEI-PY FST $'!U140),"yes","no")</f>
        <v>yes</v>
      </c>
      <c r="Q46" s="570" t="str">
        <f>IF(Q19=SUM('HEI-PY FST $'!V157,'HEI-PY FST $'!V140),"yes","no")</f>
        <v>yes</v>
      </c>
      <c r="R46" s="570" t="str">
        <f>IF(R19=SUM('HEI-PY FST $'!W157,'HEI-PY FST $'!W140),"yes","no")</f>
        <v>yes</v>
      </c>
      <c r="S46" s="570" t="str">
        <f>IF(S19=SUM('HEI-PY FST $'!X157,'HEI-PY FST $'!X140),"yes","no")</f>
        <v>yes</v>
      </c>
      <c r="T46" s="570" t="str">
        <f>IF(T19=SUM('HEI-PY FST $'!Y157,'HEI-PY FST $'!Y140),"yes","no")</f>
        <v>yes</v>
      </c>
      <c r="U46" s="570" t="str">
        <f>IF(U19=SUM('HEI-PY FST $'!Z157,'HEI-PY FST $'!Z140),"yes","no")</f>
        <v>yes</v>
      </c>
      <c r="V46" s="570" t="str">
        <f>IF(V19=SUM('HEI-PY FST $'!AA157,'HEI-PY FST $'!AA140),"yes","no")</f>
        <v>yes</v>
      </c>
      <c r="W46" s="570" t="str">
        <f>IF(W19=SUM('HEI-PY FST $'!AB157,'HEI-PY FST $'!AB140),"yes","no")</f>
        <v>yes</v>
      </c>
      <c r="Z46" s="541"/>
      <c r="AA46" s="541"/>
    </row>
    <row r="47" spans="1:27" s="570" customFormat="1" x14ac:dyDescent="0.2">
      <c r="A47" s="715" t="s">
        <v>1367</v>
      </c>
      <c r="B47" s="570" t="str">
        <f>IF(B20=SUM('HEI-PY FST $'!G158,'HEI-PY FST $'!G141),"yes","no")</f>
        <v>yes</v>
      </c>
      <c r="C47" s="570" t="str">
        <f>IF(C20=SUM('HEI-PY FST $'!H158,'HEI-PY FST $'!H141),"yes","no")</f>
        <v>yes</v>
      </c>
      <c r="D47" s="570" t="str">
        <f>IF(D20=SUM('HEI-PY FST $'!I158,'HEI-PY FST $'!I141),"yes","no")</f>
        <v>yes</v>
      </c>
      <c r="E47" s="570" t="str">
        <f>IF(E20=SUM('HEI-PY FST $'!J158,'HEI-PY FST $'!J141),"yes","no")</f>
        <v>yes</v>
      </c>
      <c r="F47" s="570" t="str">
        <f>IF(F20=SUM('HEI-PY FST $'!K158,'HEI-PY FST $'!K141),"yes","no")</f>
        <v>yes</v>
      </c>
      <c r="G47" s="570" t="str">
        <f>IF(G20=SUM('HEI-PY FST $'!L158,'HEI-PY FST $'!L141),"yes","no")</f>
        <v>yes</v>
      </c>
      <c r="H47" s="570" t="str">
        <f>IF(H20=SUM('HEI-PY FST $'!M158,'HEI-PY FST $'!M141),"yes","no")</f>
        <v>yes</v>
      </c>
      <c r="I47" s="570" t="str">
        <f>IF(I20=SUM('HEI-PY FST $'!N158,'HEI-PY FST $'!N141),"yes","no")</f>
        <v>yes</v>
      </c>
      <c r="J47" s="570" t="str">
        <f>IF(J20=SUM('HEI-PY FST $'!O158,'HEI-PY FST $'!O141),"yes","no")</f>
        <v>yes</v>
      </c>
      <c r="K47" s="570" t="str">
        <f>IF(K20=SUM('HEI-PY FST $'!P158,'HEI-PY FST $'!P141),"yes","no")</f>
        <v>yes</v>
      </c>
      <c r="L47" s="570" t="str">
        <f>IF(L20=SUM('HEI-PY FST $'!Q158,'HEI-PY FST $'!Q141),"yes","no")</f>
        <v>yes</v>
      </c>
      <c r="M47" s="570" t="str">
        <f>IF(M20=SUM('HEI-PY FST $'!R158,'HEI-PY FST $'!R141),"yes","no")</f>
        <v>yes</v>
      </c>
      <c r="N47" s="570" t="str">
        <f>IF(N20=SUM('HEI-PY FST $'!S158,'HEI-PY FST $'!S141),"yes","no")</f>
        <v>yes</v>
      </c>
      <c r="O47" s="570" t="str">
        <f>IF(O20=SUM('HEI-PY FST $'!T158,'HEI-PY FST $'!T141),"yes","no")</f>
        <v>yes</v>
      </c>
      <c r="P47" s="570" t="str">
        <f>IF(P20=SUM('HEI-PY FST $'!U158,'HEI-PY FST $'!U141),"yes","no")</f>
        <v>yes</v>
      </c>
      <c r="Q47" s="570" t="str">
        <f>IF(Q20=SUM('HEI-PY FST $'!V158,'HEI-PY FST $'!V141),"yes","no")</f>
        <v>yes</v>
      </c>
      <c r="R47" s="570" t="str">
        <f>IF(R20=SUM('HEI-PY FST $'!W158,'HEI-PY FST $'!W141),"yes","no")</f>
        <v>yes</v>
      </c>
      <c r="S47" s="570" t="str">
        <f>IF(S20=SUM('HEI-PY FST $'!X158,'HEI-PY FST $'!X141),"yes","no")</f>
        <v>yes</v>
      </c>
      <c r="T47" s="570" t="str">
        <f>IF(T20=SUM('HEI-PY FST $'!Y158,'HEI-PY FST $'!Y141),"yes","no")</f>
        <v>yes</v>
      </c>
      <c r="U47" s="570" t="str">
        <f>IF(U20=SUM('HEI-PY FST $'!Z158,'HEI-PY FST $'!Z141),"yes","no")</f>
        <v>yes</v>
      </c>
      <c r="V47" s="570" t="str">
        <f>IF(V20=SUM('HEI-PY FST $'!AA158,'HEI-PY FST $'!AA141),"yes","no")</f>
        <v>yes</v>
      </c>
      <c r="W47" s="570" t="str">
        <f>IF(W20=SUM('HEI-PY FST $'!AB158,'HEI-PY FST $'!AB141),"yes","no")</f>
        <v>yes</v>
      </c>
      <c r="Z47" s="541"/>
      <c r="AA47" s="541"/>
    </row>
    <row r="48" spans="1:27" s="570" customFormat="1" x14ac:dyDescent="0.2">
      <c r="A48" s="559" t="s">
        <v>82</v>
      </c>
      <c r="B48" s="570" t="str">
        <f>IF(B21=SUM('HEI-PY FST $'!G142,'HEI-PY FST $'!G159),"yes","no")</f>
        <v>yes</v>
      </c>
      <c r="C48" s="570" t="str">
        <f>IF(C21=SUM('HEI-PY FST $'!H142,'HEI-PY FST $'!H159),"yes","no")</f>
        <v>yes</v>
      </c>
      <c r="D48" s="570" t="str">
        <f>IF(D21=SUM('HEI-PY FST $'!I142,'HEI-PY FST $'!I159),"yes","no")</f>
        <v>yes</v>
      </c>
      <c r="E48" s="570" t="str">
        <f>IF(E21=SUM('HEI-PY FST $'!J142,'HEI-PY FST $'!J159),"yes","no")</f>
        <v>yes</v>
      </c>
      <c r="F48" s="570" t="str">
        <f>IF(F21=SUM('HEI-PY FST $'!K142,'HEI-PY FST $'!K159),"yes","no")</f>
        <v>yes</v>
      </c>
      <c r="G48" s="570" t="str">
        <f>IF(G21=SUM('HEI-PY FST $'!L142,'HEI-PY FST $'!L159),"yes","no")</f>
        <v>yes</v>
      </c>
      <c r="H48" s="570" t="str">
        <f>IF(H21=SUM('HEI-PY FST $'!M142,'HEI-PY FST $'!M159),"yes","no")</f>
        <v>yes</v>
      </c>
      <c r="I48" s="570" t="str">
        <f>IF(I21=SUM('HEI-PY FST $'!N142,'HEI-PY FST $'!N159),"yes","no")</f>
        <v>yes</v>
      </c>
      <c r="J48" s="570" t="str">
        <f>IF(J21=SUM('HEI-PY FST $'!O142,'HEI-PY FST $'!O159),"yes","no")</f>
        <v>yes</v>
      </c>
      <c r="K48" s="570" t="str">
        <f>IF(K21=SUM('HEI-PY FST $'!P142,'HEI-PY FST $'!P159),"yes","no")</f>
        <v>yes</v>
      </c>
      <c r="L48" s="570" t="str">
        <f>IF(L21=SUM('HEI-PY FST $'!Q142,'HEI-PY FST $'!Q159),"yes","no")</f>
        <v>yes</v>
      </c>
      <c r="M48" s="570" t="str">
        <f>IF(M21=SUM('HEI-PY FST $'!R142,'HEI-PY FST $'!R159),"yes","no")</f>
        <v>yes</v>
      </c>
      <c r="N48" s="570" t="str">
        <f>IF(N21=SUM('HEI-PY FST $'!S142,'HEI-PY FST $'!S159),"yes","no")</f>
        <v>yes</v>
      </c>
      <c r="O48" s="570" t="str">
        <f>IF(O21=SUM('HEI-PY FST $'!T142,'HEI-PY FST $'!T159),"yes","no")</f>
        <v>yes</v>
      </c>
      <c r="P48" s="570" t="str">
        <f>IF(P21=SUM('HEI-PY FST $'!U142,'HEI-PY FST $'!U159),"yes","no")</f>
        <v>yes</v>
      </c>
      <c r="Q48" s="570" t="str">
        <f>IF(Q21=SUM('HEI-PY FST $'!V142,'HEI-PY FST $'!V159),"yes","no")</f>
        <v>yes</v>
      </c>
      <c r="R48" s="570" t="str">
        <f>IF(R21=SUM('HEI-PY FST $'!W142,'HEI-PY FST $'!W159),"yes","no")</f>
        <v>yes</v>
      </c>
      <c r="S48" s="570" t="str">
        <f>IF(S21=SUM('HEI-PY FST $'!X142,'HEI-PY FST $'!X159),"yes","no")</f>
        <v>yes</v>
      </c>
      <c r="T48" s="570" t="str">
        <f>IF(T21=SUM('HEI-PY FST $'!Y142,'HEI-PY FST $'!Y159),"yes","no")</f>
        <v>yes</v>
      </c>
      <c r="U48" s="570" t="str">
        <f>IF(U21=SUM('HEI-PY FST $'!Z142,'HEI-PY FST $'!Z159),"yes","no")</f>
        <v>yes</v>
      </c>
      <c r="V48" s="570" t="str">
        <f>IF(V21=SUM('HEI-PY FST $'!AA142,'HEI-PY FST $'!AA159),"yes","no")</f>
        <v>yes</v>
      </c>
      <c r="W48" s="570" t="str">
        <f>IF(W21=SUM('HEI-PY FST $'!AB142,'HEI-PY FST $'!AB159),"yes","no")</f>
        <v>yes</v>
      </c>
      <c r="Z48" s="541"/>
      <c r="AA48" s="541"/>
    </row>
    <row r="49" spans="1:27" s="570" customFormat="1" x14ac:dyDescent="0.2">
      <c r="A49" s="559" t="s">
        <v>807</v>
      </c>
      <c r="B49" s="570" t="str">
        <f>IF(B28=SUM('HEI-PY FST $'!G143,'HEI-PY FST $'!G160),"yes","no")</f>
        <v>yes</v>
      </c>
      <c r="C49" s="570" t="str">
        <f>IF(C28=SUM('HEI-PY FST $'!H143,'HEI-PY FST $'!H160),"yes","no")</f>
        <v>yes</v>
      </c>
      <c r="D49" s="570" t="str">
        <f>IF(D28=SUM('HEI-PY FST $'!I143,'HEI-PY FST $'!I160),"yes","no")</f>
        <v>yes</v>
      </c>
      <c r="E49" s="570" t="str">
        <f>IF(E28=SUM('HEI-PY FST $'!J143,'HEI-PY FST $'!J160),"yes","no")</f>
        <v>yes</v>
      </c>
      <c r="F49" s="570" t="str">
        <f>IF(F28=SUM('HEI-PY FST $'!K143,'HEI-PY FST $'!K160),"yes","no")</f>
        <v>yes</v>
      </c>
      <c r="G49" s="570" t="str">
        <f>IF(G28=SUM('HEI-PY FST $'!L143,'HEI-PY FST $'!L160),"yes","no")</f>
        <v>yes</v>
      </c>
      <c r="H49" s="570" t="str">
        <f>IF(H28=SUM('HEI-PY FST $'!M143,'HEI-PY FST $'!M160),"yes","no")</f>
        <v>yes</v>
      </c>
      <c r="I49" s="570" t="str">
        <f>IF(I28=SUM('HEI-PY FST $'!N143,'HEI-PY FST $'!N160),"yes","no")</f>
        <v>yes</v>
      </c>
      <c r="J49" s="570" t="str">
        <f>IF(J28=SUM('HEI-PY FST $'!O143,'HEI-PY FST $'!O160),"yes","no")</f>
        <v>yes</v>
      </c>
      <c r="K49" s="570" t="str">
        <f>IF(K28=SUM('HEI-PY FST $'!P143,'HEI-PY FST $'!P160),"yes","no")</f>
        <v>yes</v>
      </c>
      <c r="L49" s="570" t="str">
        <f>IF(L28=SUM('HEI-PY FST $'!Q143,'HEI-PY FST $'!Q160),"yes","no")</f>
        <v>yes</v>
      </c>
      <c r="M49" s="570" t="str">
        <f>IF(M28=SUM('HEI-PY FST $'!R143,'HEI-PY FST $'!R160),"yes","no")</f>
        <v>yes</v>
      </c>
      <c r="N49" s="570" t="str">
        <f>IF(N28=SUM('HEI-PY FST $'!S143,'HEI-PY FST $'!S160),"yes","no")</f>
        <v>yes</v>
      </c>
      <c r="O49" s="570" t="str">
        <f>IF(O28=SUM('HEI-PY FST $'!T143,'HEI-PY FST $'!T160),"yes","no")</f>
        <v>yes</v>
      </c>
      <c r="P49" s="570" t="str">
        <f>IF(P28=SUM('HEI-PY FST $'!U143,'HEI-PY FST $'!U160),"yes","no")</f>
        <v>yes</v>
      </c>
      <c r="Q49" s="570" t="str">
        <f>IF(Q28=SUM('HEI-PY FST $'!V143,'HEI-PY FST $'!V160),"yes","no")</f>
        <v>yes</v>
      </c>
      <c r="R49" s="570" t="str">
        <f>IF(R28=SUM('HEI-PY FST $'!W143,'HEI-PY FST $'!W160),"yes","no")</f>
        <v>yes</v>
      </c>
      <c r="S49" s="570" t="str">
        <f>IF(S28=SUM('HEI-PY FST $'!X143,'HEI-PY FST $'!X160),"yes","no")</f>
        <v>yes</v>
      </c>
      <c r="T49" s="570" t="str">
        <f>IF(T28=SUM('HEI-PY FST $'!Y143,'HEI-PY FST $'!Y160),"yes","no")</f>
        <v>yes</v>
      </c>
      <c r="U49" s="570" t="str">
        <f>IF(U28=SUM('HEI-PY FST $'!Z143,'HEI-PY FST $'!Z160),"yes","no")</f>
        <v>yes</v>
      </c>
      <c r="V49" s="570" t="str">
        <f>IF(V28=SUM('HEI-PY FST $'!AA143,'HEI-PY FST $'!AA160),"yes","no")</f>
        <v>yes</v>
      </c>
      <c r="W49" s="570" t="str">
        <f>IF(W28=SUM('HEI-PY FST $'!AB143,'HEI-PY FST $'!AB160),"yes","no")</f>
        <v>yes</v>
      </c>
      <c r="Z49" s="541"/>
      <c r="AA49" s="541"/>
    </row>
    <row r="50" spans="1:27" s="570" customFormat="1" x14ac:dyDescent="0.2">
      <c r="A50" s="573" t="s">
        <v>238</v>
      </c>
      <c r="B50" s="570" t="str">
        <f>IF(B29=SUM('HEI-PY FST $'!G144,'HEI-PY FST $'!G161),"yes","no")</f>
        <v>yes</v>
      </c>
      <c r="C50" s="570" t="str">
        <f>IF(C29=SUM('HEI-PY FST $'!H144,'HEI-PY FST $'!H161),"yes","no")</f>
        <v>yes</v>
      </c>
      <c r="D50" s="570" t="str">
        <f>IF(D29=SUM('HEI-PY FST $'!I144,'HEI-PY FST $'!I161),"yes","no")</f>
        <v>yes</v>
      </c>
      <c r="E50" s="570" t="str">
        <f>IF(E29=SUM('HEI-PY FST $'!J144,'HEI-PY FST $'!J161),"yes","no")</f>
        <v>yes</v>
      </c>
      <c r="F50" s="570" t="str">
        <f>IF(F29=SUM('HEI-PY FST $'!K144,'HEI-PY FST $'!K161),"yes","no")</f>
        <v>yes</v>
      </c>
      <c r="G50" s="570" t="str">
        <f>IF(G29=SUM('HEI-PY FST $'!L144,'HEI-PY FST $'!L161),"yes","no")</f>
        <v>yes</v>
      </c>
      <c r="H50" s="570" t="str">
        <f>IF(H29=SUM('HEI-PY FST $'!M144,'HEI-PY FST $'!M161),"yes","no")</f>
        <v>yes</v>
      </c>
      <c r="I50" s="570" t="str">
        <f>IF(I29=SUM('HEI-PY FST $'!N144,'HEI-PY FST $'!N161),"yes","no")</f>
        <v>yes</v>
      </c>
      <c r="J50" s="570" t="str">
        <f>IF(J29=SUM('HEI-PY FST $'!O144,'HEI-PY FST $'!O161),"yes","no")</f>
        <v>yes</v>
      </c>
      <c r="K50" s="570" t="str">
        <f>IF(K29=SUM('HEI-PY FST $'!P144,'HEI-PY FST $'!P161),"yes","no")</f>
        <v>yes</v>
      </c>
      <c r="L50" s="570" t="str">
        <f>IF(L29=SUM('HEI-PY FST $'!Q144,'HEI-PY FST $'!Q161),"yes","no")</f>
        <v>yes</v>
      </c>
      <c r="M50" s="570" t="str">
        <f>IF(M29=SUM('HEI-PY FST $'!R144,'HEI-PY FST $'!R161),"yes","no")</f>
        <v>yes</v>
      </c>
      <c r="N50" s="570" t="str">
        <f>IF(N29=SUM('HEI-PY FST $'!S144,'HEI-PY FST $'!S161),"yes","no")</f>
        <v>yes</v>
      </c>
      <c r="O50" s="570" t="str">
        <f>IF(O29=SUM('HEI-PY FST $'!T144,'HEI-PY FST $'!T161),"yes","no")</f>
        <v>yes</v>
      </c>
      <c r="P50" s="570" t="str">
        <f>IF(P29=SUM('HEI-PY FST $'!U144,'HEI-PY FST $'!U161),"yes","no")</f>
        <v>yes</v>
      </c>
      <c r="Q50" s="570" t="str">
        <f>IF(Q29=SUM('HEI-PY FST $'!V144,'HEI-PY FST $'!V161),"yes","no")</f>
        <v>yes</v>
      </c>
      <c r="R50" s="570" t="str">
        <f>IF(R29=SUM('HEI-PY FST $'!W144,'HEI-PY FST $'!W161),"yes","no")</f>
        <v>yes</v>
      </c>
      <c r="S50" s="570" t="str">
        <f>IF(S29=SUM('HEI-PY FST $'!X144,'HEI-PY FST $'!X161),"yes","no")</f>
        <v>yes</v>
      </c>
      <c r="T50" s="570" t="str">
        <f>IF(T29=SUM('HEI-PY FST $'!Y144,'HEI-PY FST $'!Y161),"yes","no")</f>
        <v>yes</v>
      </c>
      <c r="U50" s="570" t="str">
        <f>IF(U29=SUM('HEI-PY FST $'!Z144,'HEI-PY FST $'!Z161),"yes","no")</f>
        <v>yes</v>
      </c>
      <c r="V50" s="570" t="str">
        <f>IF(V29=SUM('HEI-PY FST $'!AA144,'HEI-PY FST $'!AA161),"yes","no")</f>
        <v>yes</v>
      </c>
      <c r="W50" s="570" t="str">
        <f>IF(W29=SUM('HEI-PY FST $'!AB144,'HEI-PY FST $'!AB161),"yes","no")</f>
        <v>yes</v>
      </c>
      <c r="Z50" s="541"/>
      <c r="AA50" s="541"/>
    </row>
    <row r="51" spans="1:27" x14ac:dyDescent="0.2">
      <c r="B51" s="546"/>
    </row>
    <row r="52" spans="1:27" x14ac:dyDescent="0.2">
      <c r="A52" s="77" t="s">
        <v>697</v>
      </c>
      <c r="B52" s="570" t="str">
        <f>IF(B31=SUM('HEI-PY FST $'!G126,'HEI-PY FST $'!G127),"yes","no")</f>
        <v>yes</v>
      </c>
      <c r="C52" s="570" t="str">
        <f>IF(C31=SUM('HEI-PY FST $'!H126,'HEI-PY FST $'!H127),"yes","no")</f>
        <v>yes</v>
      </c>
      <c r="D52" s="570" t="str">
        <f>IF(D31=SUM('HEI-PY FST $'!I126,'HEI-PY FST $'!I127),"yes","no")</f>
        <v>yes</v>
      </c>
      <c r="E52" s="570" t="str">
        <f>IF(E31=SUM('HEI-PY FST $'!J126,'HEI-PY FST $'!J127),"yes","no")</f>
        <v>yes</v>
      </c>
      <c r="F52" s="570" t="str">
        <f>IF(F31=SUM('HEI-PY FST $'!K126,'HEI-PY FST $'!K127),"yes","no")</f>
        <v>yes</v>
      </c>
      <c r="G52" s="570" t="str">
        <f>IF(G31=SUM('HEI-PY FST $'!L126,'HEI-PY FST $'!L127),"yes","no")</f>
        <v>yes</v>
      </c>
      <c r="H52" s="570" t="str">
        <f>IF(H31=SUM('HEI-PY FST $'!M126,'HEI-PY FST $'!M127),"yes","no")</f>
        <v>yes</v>
      </c>
      <c r="I52" s="570" t="str">
        <f>IF(I31=SUM('HEI-PY FST $'!N126,'HEI-PY FST $'!N127),"yes","no")</f>
        <v>yes</v>
      </c>
      <c r="J52" s="570" t="str">
        <f>IF(J31=SUM('HEI-PY FST $'!O126,'HEI-PY FST $'!O127),"yes","no")</f>
        <v>yes</v>
      </c>
      <c r="K52" s="570" t="str">
        <f>IF(K31=SUM('HEI-PY FST $'!P126,'HEI-PY FST $'!P127),"yes","no")</f>
        <v>yes</v>
      </c>
      <c r="L52" s="570" t="str">
        <f>IF(L31=SUM('HEI-PY FST $'!Q126,'HEI-PY FST $'!Q127),"yes","no")</f>
        <v>yes</v>
      </c>
      <c r="M52" s="570" t="str">
        <f>IF(M31=SUM('HEI-PY FST $'!R126,'HEI-PY FST $'!R127),"yes","no")</f>
        <v>yes</v>
      </c>
      <c r="N52" s="570" t="str">
        <f>IF(N31=SUM('HEI-PY FST $'!S126,'HEI-PY FST $'!S127),"yes","no")</f>
        <v>yes</v>
      </c>
      <c r="O52" s="570" t="str">
        <f>IF(O31=SUM('HEI-PY FST $'!T126,'HEI-PY FST $'!T127),"yes","no")</f>
        <v>yes</v>
      </c>
      <c r="P52" s="570" t="str">
        <f>IF(P31=SUM('HEI-PY FST $'!U126,'HEI-PY FST $'!U127),"yes","no")</f>
        <v>yes</v>
      </c>
      <c r="Q52" s="570" t="str">
        <f>IF(Q31=SUM('HEI-PY FST $'!V126,'HEI-PY FST $'!V127),"yes","no")</f>
        <v>yes</v>
      </c>
      <c r="R52" s="570" t="str">
        <f>IF(R31=SUM('HEI-PY FST $'!W126,'HEI-PY FST $'!W127),"yes","no")</f>
        <v>yes</v>
      </c>
      <c r="S52" s="570" t="str">
        <f>IF(S31=SUM('HEI-PY FST $'!X126,'HEI-PY FST $'!X127),"yes","no")</f>
        <v>yes</v>
      </c>
      <c r="T52" s="570" t="str">
        <f>IF(T31=SUM('HEI-PY FST $'!Y126,'HEI-PY FST $'!Y127),"yes","no")</f>
        <v>yes</v>
      </c>
      <c r="U52" s="570" t="str">
        <f>IF(U31=SUM('HEI-PY FST $'!Z126,'HEI-PY FST $'!Z127),"yes","no")</f>
        <v>yes</v>
      </c>
      <c r="V52" s="570" t="str">
        <f>IF(V31=SUM('HEI-PY FST $'!AA126,'HEI-PY FST $'!AA127),"yes","no")</f>
        <v>yes</v>
      </c>
      <c r="W52" s="570" t="str">
        <f>IF(W31=SUM('HEI-PY FST $'!AB126,'HEI-PY FST $'!AB127),"yes","no")</f>
        <v>yes</v>
      </c>
    </row>
  </sheetData>
  <sheetProtection algorithmName="SHA-512" hashValue="8oUj+oYFrkgXzy2bOuznjOc05XP711GRXsiSbZwtXet167hZiGeyM6A6E5Vz2z/02dz3nLvjsizDYdiySu8g1w==" saltValue="O/yWY3ytWbZ0p+CejZSSww==" spinCount="100000" sheet="1" objects="1" scenarios="1"/>
  <phoneticPr fontId="51" type="noConversion"/>
  <dataValidations count="1">
    <dataValidation type="whole" allowBlank="1" showInputMessage="1" showErrorMessage="1" error="Enter whole number." sqref="B10:W12 B23:W27 B6:W7 B15:W21 B2:W3" xr:uid="{00000000-0002-0000-0300-000000000000}">
      <formula1>-100000000000000000000</formula1>
      <formula2>1000000000000000000</formula2>
    </dataValidation>
  </dataValidations>
  <printOptions headings="1" gridLines="1"/>
  <pageMargins left="0.75" right="0.75" top="0.37" bottom="0.48" header="0.5" footer="0.5"/>
  <pageSetup paperSize="5" scale="55" orientation="landscape" cellComments="asDisplayed" r:id="rId1"/>
  <headerFooter alignWithMargins="0">
    <oddFooter>&amp;L&amp;"Arial,Regular"&amp;Z&amp;F &amp;A&amp;R&amp;"Arial,Regular"Page &amp;P</oddFooter>
  </headerFooter>
  <colBreaks count="1" manualBreakCount="1">
    <brk id="24"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029"/>
  <sheetViews>
    <sheetView showGridLines="0" tabSelected="1" zoomScaleNormal="100" zoomScaleSheetLayoutView="75" workbookViewId="0"/>
  </sheetViews>
  <sheetFormatPr defaultColWidth="8.83203125" defaultRowHeight="12" x14ac:dyDescent="0.2"/>
  <cols>
    <col min="1" max="1" width="4.6640625" style="211" customWidth="1"/>
    <col min="2" max="2" width="1.83203125" style="211" customWidth="1"/>
    <col min="3" max="3" width="0.6640625" style="211" customWidth="1"/>
    <col min="4" max="4" width="49.1640625" style="211" customWidth="1"/>
    <col min="5" max="5" width="25.6640625" style="2" customWidth="1"/>
    <col min="6" max="6" width="0.5" style="2" customWidth="1"/>
    <col min="7" max="7" width="16.83203125" style="3" customWidth="1"/>
    <col min="8" max="8" width="18.6640625" style="3" customWidth="1"/>
    <col min="9" max="10" width="16.83203125" style="3" customWidth="1"/>
    <col min="11" max="11" width="20" style="3" customWidth="1"/>
    <col min="12" max="12" width="16.83203125" style="3" customWidth="1"/>
    <col min="13" max="13" width="13.83203125" style="211" customWidth="1"/>
    <col min="14" max="14" width="7.6640625" style="266" customWidth="1"/>
    <col min="15" max="15" width="0.83203125" style="211" customWidth="1"/>
    <col min="16" max="17" width="16.83203125" style="3" customWidth="1"/>
    <col min="18" max="18" width="13.83203125" style="211" customWidth="1"/>
    <col min="19" max="19" width="7.5" style="266" customWidth="1"/>
    <col min="20" max="20" width="8.83203125" style="211" customWidth="1"/>
    <col min="21" max="21" width="16.83203125" style="211" customWidth="1"/>
    <col min="22" max="22" width="18.1640625" style="211" customWidth="1"/>
    <col min="23" max="23" width="14.33203125" style="211" customWidth="1"/>
    <col min="24" max="16384" width="8.83203125" style="211"/>
  </cols>
  <sheetData>
    <row r="1" spans="1:18" ht="12.75" x14ac:dyDescent="0.2">
      <c r="A1" s="824" t="s">
        <v>1155</v>
      </c>
      <c r="E1" s="1176"/>
      <c r="F1" s="1177"/>
      <c r="G1" s="1177"/>
      <c r="H1" s="1177"/>
      <c r="I1" s="1177"/>
    </row>
    <row r="2" spans="1:18" ht="37.5" customHeight="1" x14ac:dyDescent="0.2">
      <c r="A2" s="824" t="s">
        <v>770</v>
      </c>
      <c r="E2" s="1184" t="str">
        <f>IFERROR(VLOOKUP(E1,'HEI #-Acronym'!A:B,2,FALSE),"")</f>
        <v/>
      </c>
      <c r="F2" s="1185"/>
      <c r="G2" s="1185"/>
      <c r="H2" s="1185"/>
      <c r="I2" s="1186"/>
      <c r="J2"/>
      <c r="K2"/>
      <c r="L2"/>
      <c r="M2"/>
      <c r="P2"/>
      <c r="Q2"/>
      <c r="R2"/>
    </row>
    <row r="3" spans="1:18" ht="12.75" x14ac:dyDescent="0.2">
      <c r="A3" s="824" t="s">
        <v>771</v>
      </c>
      <c r="E3" s="1176"/>
      <c r="F3" s="1177"/>
      <c r="G3" s="1177"/>
      <c r="H3" s="1177"/>
      <c r="I3" s="1177"/>
      <c r="J3"/>
      <c r="K3"/>
      <c r="L3"/>
      <c r="M3"/>
      <c r="P3"/>
      <c r="Q3"/>
      <c r="R3"/>
    </row>
    <row r="4" spans="1:18" ht="12.75" x14ac:dyDescent="0.2">
      <c r="A4" s="824" t="s">
        <v>773</v>
      </c>
      <c r="E4" s="1187"/>
      <c r="F4" s="1188"/>
      <c r="G4" s="1188"/>
      <c r="H4" s="1188"/>
      <c r="I4" s="1188"/>
      <c r="J4"/>
      <c r="K4"/>
      <c r="L4"/>
      <c r="M4"/>
      <c r="P4"/>
      <c r="Q4"/>
      <c r="R4"/>
    </row>
    <row r="5" spans="1:18" ht="12.75" x14ac:dyDescent="0.2">
      <c r="A5" s="825" t="s">
        <v>774</v>
      </c>
      <c r="E5" s="1189"/>
      <c r="F5" s="1190"/>
      <c r="G5" s="1190"/>
      <c r="H5" s="1190"/>
      <c r="I5" s="1191"/>
      <c r="J5"/>
      <c r="K5"/>
      <c r="L5"/>
      <c r="M5"/>
      <c r="P5"/>
      <c r="Q5"/>
      <c r="R5"/>
    </row>
    <row r="6" spans="1:18" ht="12.75" x14ac:dyDescent="0.2">
      <c r="A6" s="826" t="s">
        <v>775</v>
      </c>
      <c r="E6" s="1192"/>
      <c r="F6" s="1193"/>
      <c r="G6" s="1193"/>
      <c r="H6" s="1193"/>
      <c r="I6" s="1193"/>
      <c r="J6"/>
      <c r="K6"/>
      <c r="L6"/>
      <c r="M6"/>
      <c r="P6"/>
      <c r="Q6"/>
      <c r="R6"/>
    </row>
    <row r="7" spans="1:18" x14ac:dyDescent="0.2">
      <c r="A7" s="1" t="s">
        <v>343</v>
      </c>
    </row>
    <row r="8" spans="1:18" ht="12.75" x14ac:dyDescent="0.2">
      <c r="A8" s="987" t="s">
        <v>1384</v>
      </c>
    </row>
    <row r="9" spans="1:18" x14ac:dyDescent="0.2">
      <c r="K9" s="897"/>
      <c r="L9" s="898"/>
      <c r="M9" s="899"/>
      <c r="P9" s="897"/>
      <c r="Q9" s="898"/>
      <c r="R9" s="899"/>
    </row>
    <row r="10" spans="1:18" x14ac:dyDescent="0.2">
      <c r="A10" s="5" t="s">
        <v>1130</v>
      </c>
      <c r="G10" s="4"/>
      <c r="H10" s="4"/>
      <c r="I10" s="4"/>
      <c r="J10" s="4"/>
      <c r="K10" s="6"/>
      <c r="L10" s="4"/>
      <c r="M10" s="7"/>
      <c r="P10" s="6"/>
      <c r="Q10" s="4"/>
      <c r="R10" s="7"/>
    </row>
    <row r="11" spans="1:18" x14ac:dyDescent="0.2">
      <c r="A11" s="11" t="s">
        <v>600</v>
      </c>
      <c r="G11" s="4"/>
      <c r="H11" s="4"/>
      <c r="I11" s="4"/>
      <c r="J11" s="4"/>
      <c r="K11" s="6"/>
      <c r="L11" s="4"/>
      <c r="M11" s="7"/>
      <c r="P11" s="6"/>
      <c r="Q11" s="4" t="s">
        <v>653</v>
      </c>
      <c r="R11" s="7"/>
    </row>
    <row r="12" spans="1:18" x14ac:dyDescent="0.2">
      <c r="A12" s="2" t="s">
        <v>1385</v>
      </c>
      <c r="G12" s="4"/>
      <c r="H12" s="4"/>
      <c r="I12" s="4"/>
      <c r="J12" s="4"/>
      <c r="K12" s="6"/>
      <c r="L12" s="4"/>
      <c r="M12" s="7"/>
      <c r="P12" s="6"/>
      <c r="Q12" s="4"/>
      <c r="R12" s="7"/>
    </row>
    <row r="13" spans="1:18" ht="6.75" customHeight="1" x14ac:dyDescent="0.2">
      <c r="A13" s="11"/>
      <c r="G13" s="4"/>
      <c r="H13" s="4"/>
      <c r="I13" s="4"/>
      <c r="J13" s="4"/>
      <c r="K13" s="6"/>
      <c r="L13" s="4"/>
      <c r="M13" s="7"/>
      <c r="P13" s="6"/>
      <c r="Q13" s="4"/>
      <c r="R13" s="7"/>
    </row>
    <row r="14" spans="1:18" x14ac:dyDescent="0.2">
      <c r="A14" s="67" t="s">
        <v>1312</v>
      </c>
      <c r="G14" s="4"/>
      <c r="H14" s="4"/>
      <c r="I14" s="4"/>
      <c r="J14" s="4"/>
      <c r="K14" s="6"/>
      <c r="L14" s="4"/>
      <c r="M14" s="7"/>
      <c r="P14" s="6"/>
      <c r="Q14" s="4"/>
      <c r="R14" s="7"/>
    </row>
    <row r="15" spans="1:18" x14ac:dyDescent="0.2">
      <c r="A15" s="211" t="s">
        <v>965</v>
      </c>
      <c r="G15" s="4"/>
      <c r="H15" s="4"/>
      <c r="I15" s="4"/>
      <c r="J15" s="4"/>
      <c r="K15" s="6"/>
      <c r="L15" s="4"/>
      <c r="M15" s="7"/>
      <c r="P15" s="6"/>
      <c r="Q15" s="4"/>
      <c r="R15" s="7"/>
    </row>
    <row r="16" spans="1:18" x14ac:dyDescent="0.2">
      <c r="A16" s="211" t="s">
        <v>313</v>
      </c>
      <c r="G16" s="4"/>
      <c r="H16" s="4"/>
      <c r="I16" s="4"/>
      <c r="J16" s="4"/>
      <c r="K16" s="6"/>
      <c r="L16" s="4"/>
      <c r="M16" s="7"/>
      <c r="P16" s="6"/>
      <c r="Q16" s="4"/>
      <c r="R16" s="7"/>
    </row>
    <row r="17" spans="1:40" ht="6.75" customHeight="1" x14ac:dyDescent="0.2">
      <c r="G17" s="4"/>
      <c r="H17" s="4"/>
      <c r="I17" s="4"/>
      <c r="J17" s="4"/>
      <c r="K17" s="6"/>
      <c r="L17" s="4"/>
      <c r="M17" s="7"/>
      <c r="P17" s="6"/>
      <c r="Q17" s="4"/>
      <c r="R17" s="7"/>
    </row>
    <row r="18" spans="1:40" x14ac:dyDescent="0.2">
      <c r="A18" s="1" t="s">
        <v>188</v>
      </c>
      <c r="G18" s="4"/>
      <c r="H18" s="4"/>
      <c r="I18" s="4"/>
      <c r="J18" s="4"/>
      <c r="K18" s="6"/>
      <c r="L18" s="4"/>
      <c r="M18" s="7"/>
      <c r="P18" s="6"/>
      <c r="Q18" s="4"/>
      <c r="R18" s="7"/>
    </row>
    <row r="19" spans="1:40" x14ac:dyDescent="0.2">
      <c r="A19" s="211" t="s">
        <v>864</v>
      </c>
      <c r="G19" s="4"/>
      <c r="H19" s="4"/>
      <c r="I19" s="4"/>
      <c r="J19" s="4"/>
      <c r="K19" s="6"/>
      <c r="L19" s="4"/>
      <c r="M19" s="7"/>
      <c r="P19" s="6"/>
      <c r="Q19" s="4"/>
      <c r="R19" s="7"/>
    </row>
    <row r="20" spans="1:40" x14ac:dyDescent="0.2">
      <c r="A20" s="33" t="s">
        <v>596</v>
      </c>
      <c r="G20" s="253"/>
      <c r="H20" s="253"/>
      <c r="I20" s="253"/>
      <c r="J20" s="253"/>
      <c r="K20" s="903"/>
      <c r="L20" s="253"/>
      <c r="M20" s="7"/>
      <c r="P20" s="903"/>
      <c r="Q20" s="253"/>
      <c r="R20" s="7"/>
    </row>
    <row r="21" spans="1:40" x14ac:dyDescent="0.2">
      <c r="A21" s="33" t="s">
        <v>327</v>
      </c>
      <c r="G21" s="253"/>
      <c r="H21" s="253"/>
      <c r="I21" s="253"/>
      <c r="J21" s="253"/>
      <c r="K21" s="903"/>
      <c r="L21" s="253"/>
      <c r="M21" s="7"/>
      <c r="P21" s="903"/>
      <c r="Q21" s="253"/>
      <c r="R21" s="7"/>
    </row>
    <row r="22" spans="1:40" ht="36" x14ac:dyDescent="0.2">
      <c r="A22" s="36"/>
      <c r="B22" s="200"/>
      <c r="C22" s="200"/>
      <c r="D22" s="200"/>
      <c r="E22" s="201"/>
      <c r="F22" s="201"/>
      <c r="G22" s="202"/>
      <c r="H22" s="202"/>
      <c r="I22" s="202"/>
      <c r="J22" s="202"/>
      <c r="K22" s="900" t="s">
        <v>1244</v>
      </c>
      <c r="L22" s="202"/>
      <c r="M22" s="203"/>
      <c r="N22" s="901"/>
      <c r="O22" s="200"/>
      <c r="P22" s="1180"/>
      <c r="Q22" s="1181"/>
      <c r="R22" s="1181"/>
      <c r="S22" s="1181"/>
    </row>
    <row r="23" spans="1:40" ht="12.75" x14ac:dyDescent="0.2">
      <c r="A23" s="1" t="s">
        <v>851</v>
      </c>
      <c r="G23" s="4"/>
      <c r="H23" s="4"/>
      <c r="I23" s="4"/>
      <c r="J23" s="4"/>
      <c r="K23" s="902">
        <f>E1</f>
        <v>0</v>
      </c>
      <c r="L23" s="4"/>
      <c r="M23" s="7"/>
      <c r="P23" s="1178"/>
      <c r="Q23" s="1179"/>
      <c r="R23" s="1179"/>
      <c r="S23" s="1179"/>
    </row>
    <row r="24" spans="1:40" ht="36" customHeight="1" x14ac:dyDescent="0.2">
      <c r="E24"/>
      <c r="F24"/>
      <c r="G24" s="204" t="s">
        <v>224</v>
      </c>
      <c r="H24" s="206" t="s">
        <v>225</v>
      </c>
      <c r="I24" s="206" t="s">
        <v>226</v>
      </c>
      <c r="J24" s="4"/>
      <c r="K24" s="904" t="s">
        <v>648</v>
      </c>
      <c r="L24" s="1182" t="s">
        <v>227</v>
      </c>
      <c r="M24" s="1183"/>
      <c r="P24" s="904" t="s">
        <v>648</v>
      </c>
      <c r="Q24" s="1194" t="s">
        <v>300</v>
      </c>
      <c r="R24" s="1195"/>
    </row>
    <row r="25" spans="1:40" ht="120" x14ac:dyDescent="0.2">
      <c r="A25" s="1"/>
      <c r="E25" s="9" t="s">
        <v>966</v>
      </c>
      <c r="F25" s="9"/>
      <c r="G25" s="205" t="s">
        <v>1729</v>
      </c>
      <c r="H25" s="205" t="s">
        <v>81</v>
      </c>
      <c r="I25" s="205" t="s">
        <v>36</v>
      </c>
      <c r="J25" s="905" t="s">
        <v>76</v>
      </c>
      <c r="K25" s="340" t="s">
        <v>289</v>
      </c>
      <c r="L25" s="906" t="s">
        <v>503</v>
      </c>
      <c r="M25" s="907" t="s">
        <v>665</v>
      </c>
      <c r="N25" s="908" t="s">
        <v>433</v>
      </c>
      <c r="P25" s="340" t="s">
        <v>299</v>
      </c>
      <c r="Q25" s="906" t="s">
        <v>503</v>
      </c>
      <c r="R25" s="907" t="s">
        <v>665</v>
      </c>
      <c r="S25" s="908" t="s">
        <v>433</v>
      </c>
    </row>
    <row r="26" spans="1:40" x14ac:dyDescent="0.2">
      <c r="A26" s="1" t="s">
        <v>891</v>
      </c>
      <c r="E26" s="9"/>
      <c r="F26" s="9"/>
      <c r="G26" s="199"/>
      <c r="H26" s="199"/>
      <c r="I26" s="199"/>
      <c r="J26" s="683"/>
      <c r="K26" s="683"/>
      <c r="L26" s="683"/>
      <c r="M26" s="909"/>
      <c r="N26" s="908"/>
      <c r="P26" s="683"/>
      <c r="Q26" s="683"/>
      <c r="R26" s="909"/>
      <c r="S26" s="908"/>
    </row>
    <row r="27" spans="1:40" s="10" customFormat="1" x14ac:dyDescent="0.2">
      <c r="A27" s="1" t="s">
        <v>479</v>
      </c>
      <c r="E27" s="11"/>
      <c r="F27" s="11"/>
      <c r="G27" s="12"/>
      <c r="H27" s="12"/>
      <c r="I27" s="12"/>
      <c r="J27" s="12"/>
      <c r="K27" s="12"/>
      <c r="L27" s="12"/>
      <c r="M27" s="13"/>
      <c r="N27" s="910"/>
      <c r="O27" s="13"/>
      <c r="P27" s="12"/>
      <c r="Q27" s="12"/>
      <c r="R27" s="13"/>
      <c r="S27" s="910"/>
      <c r="T27" s="13"/>
      <c r="U27" s="13"/>
      <c r="V27" s="13"/>
      <c r="W27" s="13"/>
      <c r="X27" s="13"/>
      <c r="Y27" s="13"/>
      <c r="Z27" s="13"/>
      <c r="AA27" s="13"/>
      <c r="AB27" s="13"/>
      <c r="AC27" s="13"/>
      <c r="AD27" s="13"/>
      <c r="AE27" s="13"/>
      <c r="AF27" s="13"/>
      <c r="AG27" s="13"/>
      <c r="AH27" s="13"/>
      <c r="AI27" s="13"/>
      <c r="AJ27" s="13"/>
      <c r="AK27" s="13"/>
      <c r="AL27" s="13"/>
      <c r="AM27" s="13"/>
      <c r="AN27" s="13"/>
    </row>
    <row r="28" spans="1:40" s="10" customFormat="1" x14ac:dyDescent="0.2">
      <c r="A28" s="10" t="s">
        <v>354</v>
      </c>
      <c r="E28" s="11" t="s">
        <v>111</v>
      </c>
      <c r="F28" s="14"/>
      <c r="G28" s="29"/>
      <c r="H28" s="194"/>
      <c r="I28" s="911">
        <f>'Elimination Entries to FST'!J28</f>
        <v>0</v>
      </c>
      <c r="J28" s="209">
        <f t="shared" ref="J28:J34" si="0">SUM(G28:I28)</f>
        <v>0</v>
      </c>
      <c r="K28" s="12" t="e">
        <f>HLOOKUP($K$23,'HEI-PY FST $'!$A$1:$AB$257,2,FALSE)</f>
        <v>#N/A</v>
      </c>
      <c r="L28" s="12" t="e">
        <f>G28-K28</f>
        <v>#N/A</v>
      </c>
      <c r="M28" s="912" t="e">
        <f>IF(L28=0,0,IF((AND(K28=0,G28&gt;0)),1,IF((AND(K28=0,G28&lt;0)),-1,L28/ABS(K28))))</f>
        <v>#N/A</v>
      </c>
      <c r="N28" s="913"/>
      <c r="O28" s="13"/>
      <c r="P28" s="12"/>
      <c r="Q28" s="209"/>
      <c r="R28" s="914"/>
      <c r="S28" s="913"/>
      <c r="T28" s="13"/>
      <c r="U28" s="13"/>
      <c r="V28" s="13"/>
      <c r="W28" s="13"/>
      <c r="X28" s="13"/>
      <c r="Y28" s="13"/>
      <c r="Z28" s="13"/>
      <c r="AA28" s="13"/>
      <c r="AB28" s="13"/>
      <c r="AC28" s="13"/>
      <c r="AD28" s="13"/>
      <c r="AE28" s="13"/>
      <c r="AF28" s="13"/>
      <c r="AG28" s="13"/>
      <c r="AH28" s="13"/>
      <c r="AI28" s="13"/>
      <c r="AJ28" s="13"/>
      <c r="AK28" s="13"/>
      <c r="AL28" s="13"/>
      <c r="AM28" s="13"/>
      <c r="AN28" s="13"/>
    </row>
    <row r="29" spans="1:40" s="10" customFormat="1" x14ac:dyDescent="0.2">
      <c r="A29" s="10" t="s">
        <v>353</v>
      </c>
      <c r="E29" s="11" t="s">
        <v>130</v>
      </c>
      <c r="F29" s="14"/>
      <c r="G29" s="29"/>
      <c r="H29" s="194"/>
      <c r="I29" s="911">
        <f>'Elimination Entries to FST'!J29</f>
        <v>0</v>
      </c>
      <c r="J29" s="209">
        <f t="shared" si="0"/>
        <v>0</v>
      </c>
      <c r="K29" s="12" t="e">
        <f>HLOOKUP($K$23,'HEI-PY FST $'!$A$1:$AB$257,3,FALSE)</f>
        <v>#N/A</v>
      </c>
      <c r="L29" s="12" t="e">
        <f t="shared" ref="L29:L34" si="1">G29-K29</f>
        <v>#N/A</v>
      </c>
      <c r="M29" s="912" t="e">
        <f t="shared" ref="M29:M35" si="2">IF(L29=0,0,IF((AND(K29=0,G29&gt;0)),1,IF((AND(K29=0,G29&lt;0)),-1,L29/ABS(K29))))</f>
        <v>#N/A</v>
      </c>
      <c r="N29" s="913"/>
      <c r="O29" s="13"/>
      <c r="P29" s="12"/>
      <c r="Q29" s="209"/>
      <c r="R29" s="914"/>
      <c r="S29" s="913"/>
      <c r="T29" s="13"/>
      <c r="U29" s="13"/>
      <c r="V29" s="13"/>
      <c r="W29" s="13"/>
      <c r="X29" s="13"/>
      <c r="Y29" s="13"/>
      <c r="Z29" s="13"/>
      <c r="AA29" s="13"/>
      <c r="AB29" s="13"/>
      <c r="AC29" s="13"/>
      <c r="AD29" s="13"/>
      <c r="AE29" s="13"/>
      <c r="AF29" s="13"/>
      <c r="AG29" s="13"/>
      <c r="AH29" s="13"/>
      <c r="AI29" s="13"/>
      <c r="AJ29" s="13"/>
      <c r="AK29" s="13"/>
      <c r="AL29" s="13"/>
      <c r="AM29" s="13"/>
      <c r="AN29" s="13"/>
    </row>
    <row r="30" spans="1:40" s="10" customFormat="1" x14ac:dyDescent="0.2">
      <c r="A30" s="10" t="s">
        <v>468</v>
      </c>
      <c r="E30" s="11" t="s">
        <v>274</v>
      </c>
      <c r="F30" s="14"/>
      <c r="G30" s="29"/>
      <c r="H30" s="194"/>
      <c r="I30" s="911">
        <f>'Elimination Entries to FST'!J30</f>
        <v>0</v>
      </c>
      <c r="J30" s="209">
        <f t="shared" si="0"/>
        <v>0</v>
      </c>
      <c r="K30" s="12" t="e">
        <f>HLOOKUP($K$23,'HEI-PY FST $'!$A$1:$AB$257,4,FALSE)</f>
        <v>#N/A</v>
      </c>
      <c r="L30" s="12" t="e">
        <f t="shared" si="1"/>
        <v>#N/A</v>
      </c>
      <c r="M30" s="912" t="e">
        <f t="shared" si="2"/>
        <v>#N/A</v>
      </c>
      <c r="N30" s="913"/>
      <c r="O30" s="13"/>
      <c r="P30" s="12"/>
      <c r="Q30" s="209"/>
      <c r="R30" s="914"/>
      <c r="S30" s="913"/>
      <c r="T30" s="13"/>
      <c r="U30" s="13"/>
      <c r="V30" s="13"/>
      <c r="W30" s="13"/>
      <c r="X30" s="13"/>
      <c r="Y30" s="13"/>
      <c r="Z30" s="13"/>
      <c r="AA30" s="13"/>
      <c r="AB30" s="13"/>
      <c r="AC30" s="13"/>
      <c r="AD30" s="13"/>
      <c r="AE30" s="13"/>
      <c r="AF30" s="13"/>
      <c r="AG30" s="13"/>
      <c r="AH30" s="13"/>
      <c r="AI30" s="13"/>
      <c r="AJ30" s="13"/>
      <c r="AK30" s="13"/>
      <c r="AL30" s="13"/>
      <c r="AM30" s="13"/>
      <c r="AN30" s="13"/>
    </row>
    <row r="31" spans="1:40" s="10" customFormat="1" ht="29.25" customHeight="1" x14ac:dyDescent="0.2">
      <c r="A31" s="1164" t="s">
        <v>469</v>
      </c>
      <c r="B31" s="1164"/>
      <c r="C31" s="1164"/>
      <c r="D31" s="1164"/>
      <c r="E31" s="11" t="s">
        <v>201</v>
      </c>
      <c r="F31" s="14"/>
      <c r="G31" s="29"/>
      <c r="H31" s="194"/>
      <c r="I31" s="911">
        <f>'Elimination Entries to FST'!J31</f>
        <v>0</v>
      </c>
      <c r="J31" s="209">
        <f t="shared" si="0"/>
        <v>0</v>
      </c>
      <c r="K31" s="12" t="e">
        <f>HLOOKUP($K$23,'HEI-PY FST $'!$A$1:$AB$257,5,FALSE)</f>
        <v>#N/A</v>
      </c>
      <c r="L31" s="12" t="e">
        <f t="shared" si="1"/>
        <v>#N/A</v>
      </c>
      <c r="M31" s="912" t="e">
        <f t="shared" si="2"/>
        <v>#N/A</v>
      </c>
      <c r="N31" s="913"/>
      <c r="O31" s="13"/>
      <c r="P31" s="12"/>
      <c r="Q31" s="209"/>
      <c r="R31" s="914"/>
      <c r="S31" s="913"/>
      <c r="T31" s="13"/>
      <c r="U31" s="13"/>
      <c r="V31" s="13"/>
      <c r="W31" s="13"/>
      <c r="X31" s="13"/>
      <c r="Y31" s="13"/>
      <c r="Z31" s="13"/>
      <c r="AA31" s="13"/>
      <c r="AB31" s="13"/>
      <c r="AC31" s="13"/>
      <c r="AD31" s="13"/>
      <c r="AE31" s="13"/>
      <c r="AF31" s="13"/>
      <c r="AG31" s="13"/>
      <c r="AH31" s="13"/>
      <c r="AI31" s="13"/>
      <c r="AJ31" s="13"/>
      <c r="AK31" s="13"/>
      <c r="AL31" s="13"/>
      <c r="AM31" s="13"/>
      <c r="AN31" s="13"/>
    </row>
    <row r="32" spans="1:40" s="10" customFormat="1" ht="27" customHeight="1" x14ac:dyDescent="0.2">
      <c r="A32" s="1164" t="s">
        <v>470</v>
      </c>
      <c r="B32" s="1164"/>
      <c r="C32" s="1164"/>
      <c r="D32" s="1164"/>
      <c r="E32" s="11" t="s">
        <v>261</v>
      </c>
      <c r="F32" s="14"/>
      <c r="G32" s="29"/>
      <c r="H32" s="194"/>
      <c r="I32" s="911">
        <f>'Elimination Entries to FST'!J32</f>
        <v>0</v>
      </c>
      <c r="J32" s="209">
        <f t="shared" si="0"/>
        <v>0</v>
      </c>
      <c r="K32" s="12" t="e">
        <f>HLOOKUP($K$23,'HEI-PY FST $'!$A$1:$AB$257,6,FALSE)</f>
        <v>#N/A</v>
      </c>
      <c r="L32" s="12" t="e">
        <f t="shared" si="1"/>
        <v>#N/A</v>
      </c>
      <c r="M32" s="912" t="e">
        <f t="shared" si="2"/>
        <v>#N/A</v>
      </c>
      <c r="N32" s="913"/>
      <c r="O32" s="13"/>
      <c r="P32" s="12"/>
      <c r="Q32" s="209"/>
      <c r="R32" s="914"/>
      <c r="S32" s="913"/>
      <c r="T32" s="13"/>
      <c r="U32" s="13"/>
      <c r="V32" s="13"/>
      <c r="W32" s="13"/>
      <c r="X32" s="13"/>
      <c r="Y32" s="13"/>
      <c r="Z32" s="13"/>
      <c r="AA32" s="13"/>
      <c r="AB32" s="13"/>
      <c r="AC32" s="13"/>
      <c r="AD32" s="13"/>
      <c r="AE32" s="13"/>
      <c r="AF32" s="13"/>
      <c r="AG32" s="13"/>
      <c r="AH32" s="13"/>
      <c r="AI32" s="13"/>
      <c r="AJ32" s="13"/>
      <c r="AK32" s="13"/>
      <c r="AL32" s="13"/>
      <c r="AM32" s="13"/>
      <c r="AN32" s="13"/>
    </row>
    <row r="33" spans="1:40" s="10" customFormat="1" x14ac:dyDescent="0.2">
      <c r="A33" s="10" t="s">
        <v>77</v>
      </c>
      <c r="E33" s="5"/>
      <c r="F33" s="14"/>
      <c r="G33" s="198"/>
      <c r="H33" s="911">
        <f>'Combining FST'!Q24</f>
        <v>0</v>
      </c>
      <c r="I33" s="911">
        <f>'Elimination Entries to FST'!J33</f>
        <v>0</v>
      </c>
      <c r="J33" s="209">
        <f t="shared" si="0"/>
        <v>0</v>
      </c>
      <c r="K33" s="12"/>
      <c r="L33" s="209"/>
      <c r="M33" s="912"/>
      <c r="N33" s="913"/>
      <c r="O33" s="13"/>
      <c r="P33" s="12" t="e">
        <f>HLOOKUP($K$23,'Foundation-PY FST $'!$A$1:$AB$230,7,FALSE)</f>
        <v>#N/A</v>
      </c>
      <c r="Q33" s="12" t="e">
        <f>H33-P33</f>
        <v>#N/A</v>
      </c>
      <c r="R33" s="912" t="e">
        <f>IF(Q33=0,0,IF((AND(P33=0,H33&gt;0)),1,IF((AND(P33=0,H33&lt;0)),-1,Q33/ABS(P33))))</f>
        <v>#N/A</v>
      </c>
      <c r="S33" s="915" t="e">
        <f>IF(OR((ABS(Q33)&gt;19800000),AND(ABS(Q33)&gt;9900000,ABS(R33)&gt;0.1)),"yes","-")</f>
        <v>#N/A</v>
      </c>
      <c r="T33" s="13"/>
      <c r="U33" s="13"/>
      <c r="V33" s="13"/>
      <c r="W33" s="13"/>
      <c r="X33" s="13"/>
      <c r="Y33" s="13"/>
      <c r="Z33" s="13"/>
      <c r="AA33" s="13"/>
      <c r="AB33" s="13"/>
      <c r="AC33" s="13"/>
      <c r="AD33" s="13"/>
      <c r="AE33" s="13"/>
      <c r="AF33" s="13"/>
      <c r="AG33" s="13"/>
      <c r="AH33" s="13"/>
      <c r="AI33" s="13"/>
      <c r="AJ33" s="13"/>
      <c r="AK33" s="13"/>
      <c r="AL33" s="13"/>
      <c r="AM33" s="13"/>
      <c r="AN33" s="13"/>
    </row>
    <row r="34" spans="1:40" s="10" customFormat="1" x14ac:dyDescent="0.2">
      <c r="A34" s="10" t="s">
        <v>502</v>
      </c>
      <c r="E34" s="11"/>
      <c r="F34" s="14"/>
      <c r="G34" s="29"/>
      <c r="H34" s="194"/>
      <c r="I34" s="911">
        <f>'Elimination Entries to FST'!J34</f>
        <v>0</v>
      </c>
      <c r="J34" s="209">
        <f t="shared" si="0"/>
        <v>0</v>
      </c>
      <c r="K34" s="12" t="e">
        <f>HLOOKUP($K$23,'HEI-PY FST $'!$A$1:$AB$257,8,FALSE)</f>
        <v>#N/A</v>
      </c>
      <c r="L34" s="12" t="e">
        <f t="shared" si="1"/>
        <v>#N/A</v>
      </c>
      <c r="M34" s="912" t="e">
        <f t="shared" si="2"/>
        <v>#N/A</v>
      </c>
      <c r="N34" s="913"/>
      <c r="O34" s="13"/>
      <c r="P34" s="12"/>
      <c r="Q34" s="916"/>
      <c r="R34" s="917"/>
      <c r="S34" s="913"/>
      <c r="T34" s="918"/>
      <c r="U34" s="13"/>
      <c r="V34" s="13"/>
      <c r="W34" s="13"/>
      <c r="X34" s="13"/>
      <c r="Y34" s="13"/>
      <c r="Z34" s="13"/>
      <c r="AA34" s="13"/>
      <c r="AB34" s="13"/>
      <c r="AC34" s="13"/>
      <c r="AD34" s="13"/>
      <c r="AE34" s="13"/>
      <c r="AF34" s="13"/>
      <c r="AG34" s="13"/>
      <c r="AH34" s="13"/>
      <c r="AI34" s="13"/>
      <c r="AJ34" s="13"/>
      <c r="AK34" s="13"/>
      <c r="AL34" s="13"/>
      <c r="AM34" s="13"/>
      <c r="AN34" s="13"/>
    </row>
    <row r="35" spans="1:40" s="10" customFormat="1" x14ac:dyDescent="0.2">
      <c r="C35" s="18" t="s">
        <v>480</v>
      </c>
      <c r="E35" s="11"/>
      <c r="F35" s="14"/>
      <c r="G35" s="15">
        <f t="shared" ref="G35:L35" si="3">SUM(G28:G34)</f>
        <v>0</v>
      </c>
      <c r="H35" s="15">
        <f t="shared" si="3"/>
        <v>0</v>
      </c>
      <c r="I35" s="15">
        <f t="shared" si="3"/>
        <v>0</v>
      </c>
      <c r="J35" s="15">
        <f t="shared" si="3"/>
        <v>0</v>
      </c>
      <c r="K35" s="15" t="e">
        <f t="shared" si="3"/>
        <v>#N/A</v>
      </c>
      <c r="L35" s="15" t="e">
        <f t="shared" si="3"/>
        <v>#N/A</v>
      </c>
      <c r="M35" s="919" t="e">
        <f t="shared" si="2"/>
        <v>#N/A</v>
      </c>
      <c r="N35" s="915" t="e">
        <f>IF(OR((ABS(L35)&gt;19800000),AND(ABS(L35)&gt;9900000,ABS(M35)&gt;0.1)),"yes","-")</f>
        <v>#N/A</v>
      </c>
      <c r="O35" s="13"/>
      <c r="P35" s="15" t="e">
        <f>SUM(P28:P34)</f>
        <v>#N/A</v>
      </c>
      <c r="Q35" s="920" t="e">
        <f>SUM(Q28:Q34)</f>
        <v>#N/A</v>
      </c>
      <c r="R35" s="921" t="e">
        <f>IF(Q35=0,0,IF((AND(P35=0,H35&gt;0)),1,IF((AND(P35=0,H35&lt;0)),-1,Q35/ABS(P35))))</f>
        <v>#N/A</v>
      </c>
      <c r="S35" s="913"/>
      <c r="T35" s="13"/>
      <c r="U35" s="13"/>
      <c r="V35" s="13"/>
      <c r="W35" s="13"/>
      <c r="X35" s="13"/>
      <c r="Y35" s="13"/>
      <c r="Z35" s="13"/>
      <c r="AA35" s="13"/>
      <c r="AB35" s="13"/>
      <c r="AC35" s="13"/>
      <c r="AD35" s="13"/>
      <c r="AE35" s="13"/>
      <c r="AF35" s="13"/>
      <c r="AG35" s="13"/>
      <c r="AH35" s="13"/>
      <c r="AI35" s="13"/>
      <c r="AJ35" s="13"/>
      <c r="AK35" s="13"/>
      <c r="AL35" s="13"/>
      <c r="AM35" s="13"/>
      <c r="AN35" s="13"/>
    </row>
    <row r="36" spans="1:40" s="10" customFormat="1" x14ac:dyDescent="0.2">
      <c r="E36" s="11"/>
      <c r="F36" s="11"/>
      <c r="G36" s="12"/>
      <c r="H36" s="12"/>
      <c r="I36" s="12"/>
      <c r="J36" s="12"/>
      <c r="K36" s="12"/>
      <c r="L36" s="12"/>
      <c r="M36" s="922"/>
      <c r="N36" s="7"/>
      <c r="P36" s="12"/>
      <c r="Q36" s="12"/>
      <c r="R36" s="922"/>
      <c r="S36" s="7"/>
    </row>
    <row r="37" spans="1:40" s="10" customFormat="1" x14ac:dyDescent="0.2">
      <c r="E37" s="11"/>
      <c r="F37" s="11"/>
      <c r="G37" s="12"/>
      <c r="H37" s="12"/>
      <c r="I37" s="12"/>
      <c r="J37" s="12"/>
      <c r="K37" s="12"/>
      <c r="L37" s="12"/>
      <c r="M37" s="923"/>
      <c r="N37" s="910"/>
      <c r="O37" s="13"/>
      <c r="P37" s="12"/>
      <c r="Q37" s="12"/>
      <c r="R37" s="923"/>
      <c r="S37" s="924"/>
      <c r="T37" s="13"/>
      <c r="U37" s="13"/>
      <c r="V37" s="13"/>
      <c r="W37" s="13"/>
      <c r="X37" s="13"/>
      <c r="Y37" s="13"/>
      <c r="Z37" s="13"/>
      <c r="AA37" s="13"/>
      <c r="AB37" s="13"/>
      <c r="AC37" s="13"/>
      <c r="AD37" s="13"/>
      <c r="AE37" s="13"/>
      <c r="AF37" s="13"/>
      <c r="AG37" s="13"/>
      <c r="AH37" s="13"/>
      <c r="AI37" s="13"/>
      <c r="AJ37" s="13"/>
      <c r="AK37" s="13"/>
      <c r="AL37" s="13"/>
      <c r="AM37" s="13"/>
      <c r="AN37" s="13"/>
    </row>
    <row r="38" spans="1:40" s="10" customFormat="1" x14ac:dyDescent="0.2">
      <c r="E38" s="11"/>
      <c r="F38" s="14"/>
      <c r="G38" s="209"/>
      <c r="H38" s="209"/>
      <c r="I38" s="209"/>
      <c r="J38" s="209"/>
      <c r="K38" s="16"/>
      <c r="L38" s="16"/>
      <c r="M38" s="925"/>
      <c r="N38" s="913"/>
      <c r="O38" s="25"/>
      <c r="P38" s="16"/>
      <c r="Q38" s="16"/>
      <c r="R38" s="925"/>
      <c r="S38" s="913"/>
      <c r="T38" s="25"/>
      <c r="U38" s="25"/>
      <c r="V38" s="25"/>
      <c r="W38" s="25"/>
      <c r="X38" s="25"/>
      <c r="Y38" s="25"/>
      <c r="Z38" s="25"/>
      <c r="AA38" s="25"/>
      <c r="AB38" s="25"/>
      <c r="AC38" s="25"/>
      <c r="AD38" s="25"/>
      <c r="AE38" s="25"/>
      <c r="AF38" s="25"/>
      <c r="AG38" s="25"/>
      <c r="AH38" s="25"/>
      <c r="AI38" s="25"/>
      <c r="AJ38" s="25"/>
      <c r="AK38" s="25"/>
      <c r="AL38" s="25"/>
      <c r="AM38" s="25"/>
      <c r="AN38" s="25"/>
    </row>
    <row r="39" spans="1:40" s="10" customFormat="1" x14ac:dyDescent="0.2">
      <c r="A39" s="10" t="s">
        <v>471</v>
      </c>
      <c r="E39" s="11" t="s">
        <v>492</v>
      </c>
      <c r="F39" s="14"/>
      <c r="G39" s="29"/>
      <c r="H39" s="194"/>
      <c r="I39" s="911">
        <f>'Elimination Entries to FST'!J39</f>
        <v>0</v>
      </c>
      <c r="J39" s="209">
        <f>SUM(G39:I39)</f>
        <v>0</v>
      </c>
      <c r="K39" s="12" t="e">
        <f>HLOOKUP($K$23,'HEI-PY FST $'!$A$1:$AB$257,13,FALSE)</f>
        <v>#N/A</v>
      </c>
      <c r="L39" s="12" t="e">
        <f>G39-K39</f>
        <v>#N/A</v>
      </c>
      <c r="M39" s="912" t="e">
        <f>IF(L39=0,0,IF((AND(K39=0,G39&gt;0)),1,IF((AND(K39=0,G39&lt;0)),-1,L39/ABS(K39))))</f>
        <v>#N/A</v>
      </c>
      <c r="N39" s="913"/>
      <c r="O39" s="13"/>
      <c r="P39" s="12"/>
      <c r="Q39" s="12"/>
      <c r="R39" s="912"/>
      <c r="S39" s="913"/>
      <c r="T39" s="13"/>
      <c r="U39" s="13"/>
      <c r="V39" s="13"/>
      <c r="W39" s="13"/>
      <c r="X39" s="13"/>
      <c r="Y39" s="13"/>
      <c r="Z39" s="13"/>
      <c r="AA39" s="13"/>
      <c r="AB39" s="13"/>
      <c r="AC39" s="13"/>
      <c r="AD39" s="13"/>
      <c r="AE39" s="13"/>
      <c r="AF39" s="13"/>
      <c r="AG39" s="13"/>
      <c r="AH39" s="13"/>
      <c r="AI39" s="13"/>
      <c r="AJ39" s="13"/>
      <c r="AK39" s="13"/>
      <c r="AL39" s="13"/>
      <c r="AM39" s="13"/>
      <c r="AN39" s="13"/>
    </row>
    <row r="40" spans="1:40" s="10" customFormat="1" x14ac:dyDescent="0.2">
      <c r="A40" s="10" t="s">
        <v>395</v>
      </c>
      <c r="E40" s="11" t="s">
        <v>261</v>
      </c>
      <c r="F40" s="14"/>
      <c r="G40" s="29"/>
      <c r="H40" s="194"/>
      <c r="I40" s="911">
        <f>'Elimination Entries to FST'!J40</f>
        <v>0</v>
      </c>
      <c r="J40" s="209">
        <f>SUM(G40:I40)</f>
        <v>0</v>
      </c>
      <c r="K40" s="12" t="e">
        <f>HLOOKUP($K$23,'HEI-PY FST $'!$A$1:$AB$257,14,FALSE)</f>
        <v>#N/A</v>
      </c>
      <c r="L40" s="12" t="e">
        <f>G40-K40</f>
        <v>#N/A</v>
      </c>
      <c r="M40" s="912" t="e">
        <f>IF(L40=0,0,IF((AND(K40=0,G40&gt;0)),1,IF((AND(K40=0,G40&lt;0)),-1,L40/ABS(K40))))</f>
        <v>#N/A</v>
      </c>
      <c r="N40" s="913"/>
      <c r="O40" s="13"/>
      <c r="P40" s="12"/>
      <c r="Q40" s="12"/>
      <c r="R40" s="912"/>
      <c r="S40" s="913"/>
      <c r="T40" s="13"/>
      <c r="U40" s="13"/>
      <c r="V40" s="13"/>
      <c r="W40" s="13"/>
      <c r="X40" s="13"/>
      <c r="Y40" s="13"/>
      <c r="Z40" s="13"/>
      <c r="AA40" s="13"/>
      <c r="AB40" s="13"/>
      <c r="AC40" s="13"/>
      <c r="AD40" s="13"/>
      <c r="AE40" s="13"/>
      <c r="AF40" s="13"/>
      <c r="AG40" s="13"/>
      <c r="AH40" s="13"/>
      <c r="AI40" s="13"/>
      <c r="AJ40" s="13"/>
      <c r="AK40" s="13"/>
      <c r="AL40" s="13"/>
      <c r="AM40" s="13"/>
      <c r="AN40" s="13"/>
    </row>
    <row r="41" spans="1:40" s="10" customFormat="1" x14ac:dyDescent="0.2">
      <c r="A41" s="10" t="s">
        <v>744</v>
      </c>
      <c r="E41" s="5"/>
      <c r="F41" s="14"/>
      <c r="G41" s="194"/>
      <c r="H41" s="911">
        <f>'Combining FST'!Q25</f>
        <v>0</v>
      </c>
      <c r="I41" s="911">
        <f>'Elimination Entries to FST'!J41</f>
        <v>0</v>
      </c>
      <c r="J41" s="209">
        <f>SUM(G41:I41)</f>
        <v>0</v>
      </c>
      <c r="K41" s="12"/>
      <c r="L41" s="209"/>
      <c r="M41" s="912"/>
      <c r="N41" s="913"/>
      <c r="O41" s="13"/>
      <c r="P41" s="12" t="e">
        <f>HLOOKUP($K$23,'Foundation-PY FST $'!$A$1:$AB$230,15,FALSE)</f>
        <v>#N/A</v>
      </c>
      <c r="Q41" s="12" t="e">
        <f>H41-P41</f>
        <v>#N/A</v>
      </c>
      <c r="R41" s="912" t="e">
        <f>IF(Q41=0,0,IF((AND(P41=0,H41&gt;0)),1,IF((AND(P41=0,H41&lt;0)),-1,Q41/ABS(P41))))</f>
        <v>#N/A</v>
      </c>
      <c r="S41" s="915" t="e">
        <f>IF(OR((ABS(Q41)&gt;19800000),AND(ABS(Q41)&gt;9900000,ABS(R41)&gt;0.1)),"yes","-")</f>
        <v>#N/A</v>
      </c>
      <c r="T41" s="13"/>
      <c r="U41" s="13"/>
      <c r="V41" s="13"/>
      <c r="W41" s="13"/>
      <c r="X41" s="13"/>
      <c r="Y41" s="13"/>
      <c r="Z41" s="13"/>
      <c r="AA41" s="13"/>
      <c r="AB41" s="13"/>
      <c r="AC41" s="13"/>
      <c r="AD41" s="13"/>
      <c r="AE41" s="13"/>
      <c r="AF41" s="13"/>
      <c r="AG41" s="13"/>
      <c r="AH41" s="13"/>
      <c r="AI41" s="13"/>
      <c r="AJ41" s="13"/>
      <c r="AK41" s="13"/>
      <c r="AL41" s="13"/>
      <c r="AM41" s="13"/>
      <c r="AN41" s="13"/>
    </row>
    <row r="42" spans="1:40" s="10" customFormat="1" x14ac:dyDescent="0.2">
      <c r="A42" s="10" t="s">
        <v>117</v>
      </c>
      <c r="E42" s="11"/>
      <c r="F42" s="14"/>
      <c r="G42" s="29"/>
      <c r="H42" s="194"/>
      <c r="I42" s="911">
        <f>'Elimination Entries to FST'!J42</f>
        <v>0</v>
      </c>
      <c r="J42" s="209">
        <f>SUM(G42:I42)</f>
        <v>0</v>
      </c>
      <c r="K42" s="12" t="e">
        <f>HLOOKUP($K$23,'HEI-PY FST $'!$A$1:$AB$257,16,FALSE)</f>
        <v>#N/A</v>
      </c>
      <c r="L42" s="12" t="e">
        <f>G42-K42</f>
        <v>#N/A</v>
      </c>
      <c r="M42" s="912" t="e">
        <f>IF(L42=0,0,IF((AND(K42=0,G42&gt;0)),1,IF((AND(K42=0,G42&lt;0)),-1,L42/ABS(K42))))</f>
        <v>#N/A</v>
      </c>
      <c r="N42" s="913"/>
      <c r="O42" s="13"/>
      <c r="P42" s="12"/>
      <c r="Q42" s="12"/>
      <c r="R42" s="912"/>
      <c r="S42" s="913"/>
      <c r="T42" s="13"/>
      <c r="U42" s="13"/>
      <c r="V42" s="13"/>
      <c r="W42" s="13"/>
      <c r="X42" s="13"/>
      <c r="Y42" s="13"/>
      <c r="Z42" s="13"/>
      <c r="AA42" s="13"/>
      <c r="AB42" s="13"/>
      <c r="AC42" s="13"/>
      <c r="AD42" s="13"/>
      <c r="AE42" s="13"/>
      <c r="AF42" s="13"/>
      <c r="AG42" s="13"/>
      <c r="AH42" s="13"/>
      <c r="AI42" s="13"/>
      <c r="AJ42" s="13"/>
      <c r="AK42" s="13"/>
      <c r="AL42" s="13"/>
      <c r="AM42" s="13"/>
      <c r="AN42" s="13"/>
    </row>
    <row r="43" spans="1:40" s="10" customFormat="1" x14ac:dyDescent="0.2">
      <c r="C43" s="18" t="s">
        <v>481</v>
      </c>
      <c r="E43" s="11"/>
      <c r="F43" s="14"/>
      <c r="G43" s="15">
        <f>SUM(G39:G42)</f>
        <v>0</v>
      </c>
      <c r="H43" s="15">
        <f>SUM(H39:H42)</f>
        <v>0</v>
      </c>
      <c r="I43" s="15">
        <f>SUM(I39:I42)</f>
        <v>0</v>
      </c>
      <c r="J43" s="15">
        <f t="shared" ref="J43:K43" si="4">SUM(J39:J42)</f>
        <v>0</v>
      </c>
      <c r="K43" s="15" t="e">
        <f t="shared" si="4"/>
        <v>#N/A</v>
      </c>
      <c r="L43" s="15" t="e">
        <f>SUM(L39:L42)</f>
        <v>#N/A</v>
      </c>
      <c r="M43" s="919" t="e">
        <f>IF(L43=0,0,IF((AND(K43=0,G43&gt;0)),1,IF((AND(K43=0,G43&lt;0)),-1,L43/ABS(K43))))</f>
        <v>#N/A</v>
      </c>
      <c r="N43" s="915" t="e">
        <f>IF(OR((ABS(L43)&gt;19800000),AND(ABS(L43)&gt;9900000,ABS(M43)&gt;0.1)),"yes","-")</f>
        <v>#N/A</v>
      </c>
      <c r="O43" s="13"/>
      <c r="P43" s="15" t="e">
        <f>SUM(P39:P42)</f>
        <v>#N/A</v>
      </c>
      <c r="Q43" s="15" t="e">
        <f>SUM(Q39:Q42)</f>
        <v>#N/A</v>
      </c>
      <c r="R43" s="921" t="e">
        <f>IF(Q43=0,0,IF((AND(P43=0,H43&gt;0)),1,IF((AND(P43=0,H43&lt;0)),-1,Q43/ABS(P43))))</f>
        <v>#N/A</v>
      </c>
      <c r="S43" s="913"/>
      <c r="T43" s="13"/>
      <c r="U43" s="13"/>
      <c r="V43" s="13"/>
      <c r="W43" s="13"/>
      <c r="X43" s="13"/>
      <c r="Y43" s="13"/>
      <c r="Z43" s="13"/>
      <c r="AA43" s="13"/>
      <c r="AB43" s="13"/>
      <c r="AC43" s="13"/>
      <c r="AD43" s="13"/>
      <c r="AE43" s="13"/>
      <c r="AF43" s="13"/>
      <c r="AG43" s="13"/>
      <c r="AH43" s="13"/>
      <c r="AI43" s="13"/>
      <c r="AJ43" s="13"/>
      <c r="AK43" s="13"/>
      <c r="AL43" s="13"/>
      <c r="AM43" s="13"/>
      <c r="AN43" s="13"/>
    </row>
    <row r="44" spans="1:40" s="10" customFormat="1" x14ac:dyDescent="0.2">
      <c r="E44" s="11"/>
      <c r="F44" s="11"/>
      <c r="G44" s="12"/>
      <c r="H44" s="12"/>
      <c r="I44" s="12"/>
      <c r="J44" s="12"/>
      <c r="K44" s="12"/>
      <c r="L44" s="12"/>
      <c r="M44" s="923"/>
      <c r="N44" s="910"/>
      <c r="O44" s="13"/>
      <c r="P44" s="12"/>
      <c r="Q44" s="12"/>
      <c r="R44" s="923"/>
      <c r="S44" s="924"/>
      <c r="T44" s="13"/>
      <c r="U44" s="13"/>
      <c r="V44" s="13"/>
      <c r="W44" s="13"/>
      <c r="X44" s="13"/>
      <c r="Y44" s="13"/>
      <c r="Z44" s="13"/>
      <c r="AA44" s="13"/>
      <c r="AB44" s="13"/>
      <c r="AC44" s="13"/>
      <c r="AD44" s="13"/>
      <c r="AE44" s="13"/>
      <c r="AF44" s="13"/>
      <c r="AG44" s="13"/>
      <c r="AH44" s="13"/>
      <c r="AI44" s="13"/>
      <c r="AJ44" s="13"/>
      <c r="AK44" s="13"/>
      <c r="AL44" s="13"/>
      <c r="AM44" s="13"/>
      <c r="AN44" s="13"/>
    </row>
    <row r="45" spans="1:40" s="10" customFormat="1" x14ac:dyDescent="0.2">
      <c r="A45" s="10" t="s">
        <v>541</v>
      </c>
      <c r="E45" s="11"/>
      <c r="F45" s="11"/>
      <c r="G45" s="17"/>
      <c r="H45" s="17"/>
      <c r="I45" s="17"/>
      <c r="J45" s="17"/>
      <c r="K45" s="17"/>
      <c r="L45" s="17"/>
      <c r="M45" s="926"/>
      <c r="N45" s="910"/>
      <c r="O45" s="13"/>
      <c r="P45" s="17"/>
      <c r="Q45" s="17"/>
      <c r="R45" s="926"/>
      <c r="S45" s="924"/>
      <c r="T45" s="13"/>
      <c r="U45" s="13"/>
      <c r="V45" s="13"/>
      <c r="W45" s="13"/>
      <c r="X45" s="13"/>
      <c r="Y45" s="13"/>
      <c r="Z45" s="13"/>
      <c r="AA45" s="13"/>
      <c r="AB45" s="13"/>
      <c r="AC45" s="13"/>
      <c r="AD45" s="13"/>
      <c r="AE45" s="13"/>
      <c r="AF45" s="13"/>
      <c r="AG45" s="13"/>
      <c r="AH45" s="13"/>
      <c r="AI45" s="13"/>
      <c r="AJ45" s="13"/>
      <c r="AK45" s="13"/>
      <c r="AL45" s="13"/>
      <c r="AM45" s="13"/>
      <c r="AN45" s="13"/>
    </row>
    <row r="46" spans="1:40" s="10" customFormat="1" x14ac:dyDescent="0.2">
      <c r="B46" s="10" t="s">
        <v>304</v>
      </c>
      <c r="E46" s="274" t="s">
        <v>535</v>
      </c>
      <c r="F46" s="11"/>
      <c r="G46" s="29"/>
      <c r="H46" s="194"/>
      <c r="I46" s="911">
        <f>'Elimination Entries to FST'!J46</f>
        <v>0</v>
      </c>
      <c r="J46" s="209">
        <f>SUM(G46:I46)</f>
        <v>0</v>
      </c>
      <c r="K46" s="12" t="e">
        <f>HLOOKUP($K$23,'HEI-PY FST $'!$A$1:$AB$257,20,FALSE)</f>
        <v>#N/A</v>
      </c>
      <c r="L46" s="12" t="e">
        <f>G46-K46</f>
        <v>#N/A</v>
      </c>
      <c r="M46" s="912" t="e">
        <f t="shared" ref="M46:M53" si="5">IF(L46=0,0,IF((AND(K46=0,G46&gt;0)),1,IF((AND(K46=0,G46&lt;0)),-1,L46/ABS(K46))))</f>
        <v>#N/A</v>
      </c>
      <c r="N46" s="915" t="e">
        <f>IF(OR((ABS(L46)&gt;19800000),AND(ABS(L46)&gt;9900000,ABS(M46)&gt;0.1)),"yes","-")</f>
        <v>#N/A</v>
      </c>
      <c r="O46" s="13"/>
      <c r="P46" s="17"/>
      <c r="Q46" s="209"/>
      <c r="R46" s="914"/>
      <c r="S46" s="913"/>
      <c r="T46" s="918"/>
      <c r="U46" s="13"/>
      <c r="V46" s="13"/>
      <c r="W46" s="13"/>
      <c r="X46" s="13"/>
      <c r="Y46" s="13"/>
      <c r="Z46" s="13"/>
      <c r="AA46" s="13"/>
      <c r="AB46" s="13"/>
      <c r="AC46" s="13"/>
      <c r="AD46" s="13"/>
      <c r="AE46" s="13"/>
      <c r="AF46" s="13"/>
      <c r="AG46" s="13"/>
      <c r="AH46" s="13"/>
      <c r="AI46" s="13"/>
      <c r="AJ46" s="13"/>
      <c r="AK46" s="13"/>
      <c r="AL46" s="13"/>
      <c r="AM46" s="13"/>
      <c r="AN46" s="13"/>
    </row>
    <row r="47" spans="1:40" s="10" customFormat="1" x14ac:dyDescent="0.2">
      <c r="B47" s="10" t="s">
        <v>305</v>
      </c>
      <c r="E47" s="274" t="s">
        <v>535</v>
      </c>
      <c r="F47" s="11"/>
      <c r="G47" s="29"/>
      <c r="H47" s="194"/>
      <c r="I47" s="911">
        <f>'Elimination Entries to FST'!J47</f>
        <v>0</v>
      </c>
      <c r="J47" s="209">
        <f>SUM(G47:I47)</f>
        <v>0</v>
      </c>
      <c r="K47" s="12" t="e">
        <f>HLOOKUP($K$23,'HEI-PY FST $'!$A$1:$AB$257,21,FALSE)</f>
        <v>#N/A</v>
      </c>
      <c r="L47" s="12" t="e">
        <f>G47-K47</f>
        <v>#N/A</v>
      </c>
      <c r="M47" s="912" t="e">
        <f t="shared" si="5"/>
        <v>#N/A</v>
      </c>
      <c r="N47" s="915" t="e">
        <f>IF(OR((ABS(L47)&gt;19800000),AND(ABS(L47)&gt;9900000,ABS(M47)&gt;0.1)),"yes","-")</f>
        <v>#N/A</v>
      </c>
      <c r="O47" s="13"/>
      <c r="P47" s="17"/>
      <c r="Q47" s="209"/>
      <c r="R47" s="914"/>
      <c r="S47" s="913"/>
      <c r="T47" s="918"/>
      <c r="U47" s="13"/>
      <c r="V47" s="13"/>
      <c r="W47" s="13"/>
      <c r="X47" s="13"/>
      <c r="Y47" s="13"/>
      <c r="Z47" s="13"/>
      <c r="AA47" s="13"/>
      <c r="AB47" s="13"/>
      <c r="AC47" s="13"/>
      <c r="AD47" s="13"/>
      <c r="AE47" s="13"/>
      <c r="AF47" s="13"/>
      <c r="AG47" s="13"/>
      <c r="AH47" s="13"/>
      <c r="AI47" s="13"/>
      <c r="AJ47" s="13"/>
      <c r="AK47" s="13"/>
      <c r="AL47" s="13"/>
      <c r="AM47" s="13"/>
      <c r="AN47" s="13"/>
    </row>
    <row r="48" spans="1:40" s="10" customFormat="1" x14ac:dyDescent="0.2">
      <c r="B48" s="211" t="s">
        <v>993</v>
      </c>
      <c r="E48" s="493" t="s">
        <v>535</v>
      </c>
      <c r="F48" s="207"/>
      <c r="G48" s="29"/>
      <c r="H48" s="194"/>
      <c r="I48" s="911">
        <f>'Elimination Entries to FST'!J48</f>
        <v>0</v>
      </c>
      <c r="J48" s="209">
        <f>SUM(G48:I48)</f>
        <v>0</v>
      </c>
      <c r="K48" s="12" t="e">
        <f>HLOOKUP($K$23,'HEI-PY FST $'!$A$1:$AB$257,22,FALSE)</f>
        <v>#N/A</v>
      </c>
      <c r="L48" s="12" t="e">
        <f>G48-K48</f>
        <v>#N/A</v>
      </c>
      <c r="M48" s="912" t="e">
        <f t="shared" si="5"/>
        <v>#N/A</v>
      </c>
      <c r="N48" s="915" t="e">
        <f>IF(OR((ABS(L48)&gt;19800000),AND(ABS(L48)&gt;9900000,ABS(M48)&gt;0.1)),"yes","-")</f>
        <v>#N/A</v>
      </c>
      <c r="O48" s="13"/>
      <c r="P48" s="17"/>
      <c r="Q48" s="209"/>
      <c r="R48" s="914"/>
      <c r="S48" s="913"/>
      <c r="T48" s="918"/>
      <c r="U48" s="13"/>
      <c r="V48" s="13"/>
      <c r="W48" s="13"/>
      <c r="X48" s="13"/>
      <c r="Y48" s="13"/>
      <c r="Z48" s="13"/>
      <c r="AA48" s="13"/>
      <c r="AB48" s="13"/>
      <c r="AC48" s="13"/>
      <c r="AD48" s="13"/>
      <c r="AE48" s="13"/>
      <c r="AF48" s="13"/>
      <c r="AG48" s="13"/>
      <c r="AH48" s="13"/>
      <c r="AI48" s="13"/>
      <c r="AJ48" s="13"/>
      <c r="AK48" s="13"/>
      <c r="AL48" s="13"/>
      <c r="AM48" s="13"/>
      <c r="AN48" s="13"/>
    </row>
    <row r="49" spans="1:40" s="10" customFormat="1" x14ac:dyDescent="0.2">
      <c r="A49" s="10" t="s">
        <v>37</v>
      </c>
      <c r="E49" s="11"/>
      <c r="F49" s="11"/>
      <c r="G49" s="209"/>
      <c r="H49" s="209"/>
      <c r="I49" s="209"/>
      <c r="J49" s="209"/>
      <c r="K49" s="209"/>
      <c r="L49" s="209"/>
      <c r="M49" s="914"/>
      <c r="N49" s="913"/>
      <c r="O49" s="918"/>
      <c r="P49" s="209"/>
      <c r="Q49" s="209"/>
      <c r="R49" s="914"/>
      <c r="S49" s="913"/>
      <c r="T49" s="918"/>
      <c r="U49" s="13"/>
      <c r="V49" s="13"/>
      <c r="W49" s="13"/>
      <c r="X49" s="13"/>
      <c r="Y49" s="13"/>
      <c r="Z49" s="13"/>
      <c r="AA49" s="13"/>
      <c r="AB49" s="13"/>
      <c r="AC49" s="13"/>
      <c r="AD49" s="13"/>
      <c r="AE49" s="13"/>
      <c r="AF49" s="13"/>
      <c r="AG49" s="13"/>
      <c r="AH49" s="13"/>
      <c r="AI49" s="13"/>
      <c r="AJ49" s="13"/>
      <c r="AK49" s="13"/>
      <c r="AL49" s="13"/>
      <c r="AM49" s="13"/>
      <c r="AN49" s="13"/>
    </row>
    <row r="50" spans="1:40" s="10" customFormat="1" x14ac:dyDescent="0.2">
      <c r="B50" s="10" t="s">
        <v>306</v>
      </c>
      <c r="E50" s="274" t="s">
        <v>325</v>
      </c>
      <c r="F50" s="11"/>
      <c r="G50" s="29"/>
      <c r="H50" s="194"/>
      <c r="I50" s="911">
        <f>'Elimination Entries to FST'!J50</f>
        <v>0</v>
      </c>
      <c r="J50" s="209">
        <f>SUM(G50:I50)</f>
        <v>0</v>
      </c>
      <c r="K50" s="12" t="e">
        <f>HLOOKUP($K$23,'HEI-PY FST $'!$A$1:$AB$257,24,FALSE)</f>
        <v>#N/A</v>
      </c>
      <c r="L50" s="12" t="e">
        <f>G50-K50</f>
        <v>#N/A</v>
      </c>
      <c r="M50" s="912" t="e">
        <f t="shared" si="5"/>
        <v>#N/A</v>
      </c>
      <c r="N50" s="915" t="e">
        <f>IF(OR((ABS(L50)&gt;19800000),AND(ABS(L50)&gt;9900000,ABS(M50)&gt;0.1)),"yes","-")</f>
        <v>#N/A</v>
      </c>
      <c r="O50" s="13"/>
      <c r="P50" s="17"/>
      <c r="Q50" s="209"/>
      <c r="R50" s="914"/>
      <c r="S50" s="913"/>
      <c r="T50" s="918"/>
      <c r="U50" s="13"/>
      <c r="V50" s="13"/>
      <c r="W50" s="13"/>
      <c r="X50" s="13"/>
      <c r="Y50" s="13"/>
      <c r="Z50" s="13"/>
      <c r="AA50" s="13"/>
      <c r="AB50" s="13"/>
      <c r="AC50" s="13"/>
      <c r="AD50" s="13"/>
      <c r="AE50" s="13"/>
      <c r="AF50" s="13"/>
      <c r="AG50" s="13"/>
      <c r="AH50" s="13"/>
      <c r="AI50" s="13"/>
      <c r="AJ50" s="13"/>
      <c r="AK50" s="13"/>
      <c r="AL50" s="13"/>
      <c r="AM50" s="13"/>
      <c r="AN50" s="13"/>
    </row>
    <row r="51" spans="1:40" s="10" customFormat="1" x14ac:dyDescent="0.2">
      <c r="B51" s="10" t="s">
        <v>307</v>
      </c>
      <c r="E51" s="274" t="s">
        <v>325</v>
      </c>
      <c r="F51" s="11"/>
      <c r="G51" s="29"/>
      <c r="H51" s="194"/>
      <c r="I51" s="911">
        <f>'Elimination Entries to FST'!J51</f>
        <v>0</v>
      </c>
      <c r="J51" s="209">
        <f>SUM(G51:I51)</f>
        <v>0</v>
      </c>
      <c r="K51" s="12" t="e">
        <f>HLOOKUP($K$23,'HEI-PY FST $'!$A$1:$AB$257,25,FALSE)</f>
        <v>#N/A</v>
      </c>
      <c r="L51" s="12" t="e">
        <f>G51-K51</f>
        <v>#N/A</v>
      </c>
      <c r="M51" s="912" t="e">
        <f t="shared" si="5"/>
        <v>#N/A</v>
      </c>
      <c r="N51" s="915" t="e">
        <f>IF(OR((ABS(L51)&gt;19800000),AND(ABS(L51)&gt;9900000,ABS(M51)&gt;0.1)),"yes","-")</f>
        <v>#N/A</v>
      </c>
      <c r="O51" s="13"/>
      <c r="P51" s="17"/>
      <c r="Q51" s="209"/>
      <c r="R51" s="914"/>
      <c r="S51" s="913"/>
      <c r="T51" s="918"/>
      <c r="U51" s="13"/>
      <c r="V51" s="13"/>
      <c r="W51" s="13"/>
      <c r="X51" s="13"/>
      <c r="Y51" s="13"/>
      <c r="Z51" s="13"/>
      <c r="AA51" s="13"/>
      <c r="AB51" s="13"/>
      <c r="AC51" s="13"/>
      <c r="AD51" s="13"/>
      <c r="AE51" s="13"/>
      <c r="AF51" s="13"/>
      <c r="AG51" s="13"/>
      <c r="AH51" s="13"/>
      <c r="AI51" s="13"/>
      <c r="AJ51" s="13"/>
      <c r="AK51" s="13"/>
      <c r="AL51" s="13"/>
      <c r="AM51" s="13"/>
      <c r="AN51" s="13"/>
    </row>
    <row r="52" spans="1:40" s="10" customFormat="1" x14ac:dyDescent="0.2">
      <c r="B52" s="10" t="s">
        <v>308</v>
      </c>
      <c r="E52" s="274" t="s">
        <v>325</v>
      </c>
      <c r="F52" s="11"/>
      <c r="G52" s="29"/>
      <c r="H52" s="194"/>
      <c r="I52" s="911">
        <f>'Elimination Entries to FST'!J52</f>
        <v>0</v>
      </c>
      <c r="J52" s="209">
        <f>SUM(G52:I52)</f>
        <v>0</v>
      </c>
      <c r="K52" s="12" t="e">
        <f>HLOOKUP($K$23,'HEI-PY FST $'!$A$1:$AB$257,26,FALSE)</f>
        <v>#N/A</v>
      </c>
      <c r="L52" s="12" t="e">
        <f>G52-K52</f>
        <v>#N/A</v>
      </c>
      <c r="M52" s="912" t="e">
        <f t="shared" si="5"/>
        <v>#N/A</v>
      </c>
      <c r="N52" s="915" t="e">
        <f>IF(OR((ABS(L52)&gt;19800000),AND(ABS(L52)&gt;9900000,ABS(M52)&gt;0.1)),"yes","-")</f>
        <v>#N/A</v>
      </c>
      <c r="O52" s="13"/>
      <c r="P52" s="17"/>
      <c r="Q52" s="209"/>
      <c r="R52" s="914"/>
      <c r="S52" s="913"/>
      <c r="T52" s="918"/>
      <c r="U52" s="13"/>
      <c r="V52" s="13"/>
      <c r="W52" s="13"/>
      <c r="X52" s="13"/>
      <c r="Y52" s="13"/>
      <c r="Z52" s="13"/>
      <c r="AA52" s="13"/>
      <c r="AB52" s="13"/>
      <c r="AC52" s="13"/>
      <c r="AD52" s="13"/>
      <c r="AE52" s="13"/>
      <c r="AF52" s="13"/>
      <c r="AG52" s="13"/>
      <c r="AH52" s="13"/>
      <c r="AI52" s="13"/>
      <c r="AJ52" s="13"/>
      <c r="AK52" s="13"/>
      <c r="AL52" s="13"/>
      <c r="AM52" s="13"/>
      <c r="AN52" s="13"/>
    </row>
    <row r="53" spans="1:40" s="10" customFormat="1" x14ac:dyDescent="0.2">
      <c r="B53" s="10" t="s">
        <v>309</v>
      </c>
      <c r="E53" s="274" t="s">
        <v>325</v>
      </c>
      <c r="F53" s="11"/>
      <c r="G53" s="29"/>
      <c r="H53" s="194"/>
      <c r="I53" s="911">
        <f>'Elimination Entries to FST'!J53</f>
        <v>0</v>
      </c>
      <c r="J53" s="209">
        <f>SUM(G53:I53)</f>
        <v>0</v>
      </c>
      <c r="K53" s="12" t="e">
        <f>HLOOKUP($K$23,'HEI-PY FST $'!$A$1:$AB$257,27,FALSE)</f>
        <v>#N/A</v>
      </c>
      <c r="L53" s="12" t="e">
        <f>G53-K53</f>
        <v>#N/A</v>
      </c>
      <c r="M53" s="912" t="e">
        <f t="shared" si="5"/>
        <v>#N/A</v>
      </c>
      <c r="N53" s="915" t="e">
        <f>IF(OR((ABS(L53)&gt;19800000),AND(ABS(L53)&gt;9900000,ABS(M53)&gt;0.1)),"yes","-")</f>
        <v>#N/A</v>
      </c>
      <c r="O53" s="13"/>
      <c r="P53" s="17"/>
      <c r="Q53" s="209"/>
      <c r="R53" s="914"/>
      <c r="S53" s="913"/>
      <c r="T53" s="918"/>
      <c r="U53" s="13"/>
      <c r="V53" s="13"/>
      <c r="W53" s="13"/>
      <c r="X53" s="13"/>
      <c r="Y53" s="13"/>
      <c r="Z53" s="13"/>
      <c r="AA53" s="13"/>
      <c r="AB53" s="13"/>
      <c r="AC53" s="13"/>
      <c r="AD53" s="13"/>
      <c r="AE53" s="13"/>
      <c r="AF53" s="13"/>
      <c r="AG53" s="13"/>
      <c r="AH53" s="13"/>
      <c r="AI53" s="13"/>
      <c r="AJ53" s="13"/>
      <c r="AK53" s="13"/>
      <c r="AL53" s="13"/>
      <c r="AM53" s="13"/>
      <c r="AN53" s="13"/>
    </row>
    <row r="54" spans="1:40" s="10" customFormat="1" x14ac:dyDescent="0.2">
      <c r="E54" s="11"/>
      <c r="F54" s="11"/>
      <c r="G54" s="209"/>
      <c r="H54" s="209"/>
      <c r="I54" s="209"/>
      <c r="J54" s="209"/>
      <c r="K54" s="12"/>
      <c r="L54" s="12"/>
      <c r="M54" s="912"/>
      <c r="N54" s="913"/>
      <c r="O54" s="13"/>
      <c r="P54" s="17"/>
      <c r="Q54" s="209"/>
      <c r="R54" s="914"/>
      <c r="S54" s="913"/>
      <c r="T54" s="918"/>
      <c r="U54" s="13"/>
      <c r="V54" s="13"/>
      <c r="W54" s="13"/>
      <c r="X54" s="13"/>
      <c r="Y54" s="13"/>
      <c r="Z54" s="13"/>
      <c r="AA54" s="13"/>
      <c r="AB54" s="13"/>
      <c r="AC54" s="13"/>
      <c r="AD54" s="13"/>
      <c r="AE54" s="13"/>
      <c r="AF54" s="13"/>
      <c r="AG54" s="13"/>
      <c r="AH54" s="13"/>
      <c r="AI54" s="13"/>
      <c r="AJ54" s="13"/>
      <c r="AK54" s="13"/>
      <c r="AL54" s="13"/>
      <c r="AM54" s="13"/>
      <c r="AN54" s="13"/>
    </row>
    <row r="55" spans="1:40" s="10" customFormat="1" x14ac:dyDescent="0.2">
      <c r="E55" s="11"/>
      <c r="F55" s="11"/>
      <c r="G55" s="12"/>
      <c r="H55" s="12"/>
      <c r="I55" s="12"/>
      <c r="J55" s="12"/>
      <c r="K55" s="12"/>
      <c r="L55" s="12"/>
      <c r="M55" s="912"/>
      <c r="N55" s="924"/>
      <c r="O55" s="13"/>
      <c r="P55" s="12"/>
      <c r="Q55" s="12"/>
      <c r="R55" s="912"/>
      <c r="S55" s="924"/>
      <c r="T55" s="13"/>
      <c r="U55" s="13"/>
      <c r="V55" s="13"/>
      <c r="W55" s="13"/>
      <c r="X55" s="13"/>
      <c r="Y55" s="13"/>
      <c r="Z55" s="13"/>
      <c r="AA55" s="13"/>
      <c r="AB55" s="13"/>
      <c r="AC55" s="13"/>
      <c r="AD55" s="13"/>
      <c r="AE55" s="13"/>
      <c r="AF55" s="13"/>
      <c r="AG55" s="13"/>
      <c r="AH55" s="13"/>
      <c r="AI55" s="13"/>
      <c r="AJ55" s="13"/>
      <c r="AK55" s="13"/>
      <c r="AL55" s="13"/>
      <c r="AM55" s="13"/>
      <c r="AN55" s="13"/>
    </row>
    <row r="56" spans="1:40" s="10" customFormat="1" x14ac:dyDescent="0.2">
      <c r="A56" s="18" t="s">
        <v>765</v>
      </c>
      <c r="E56" s="11" t="s">
        <v>500</v>
      </c>
      <c r="F56" s="14"/>
      <c r="G56" s="193"/>
      <c r="H56" s="927">
        <f>'Combining FST'!Q26</f>
        <v>0</v>
      </c>
      <c r="I56" s="911">
        <f>'Elimination Entries to FST'!J56</f>
        <v>0</v>
      </c>
      <c r="J56" s="209">
        <f>SUM(G56:I56)</f>
        <v>0</v>
      </c>
      <c r="K56" s="12" t="e">
        <f>HLOOKUP($K$23,'HEI-PY FST $'!$A$1:$AB$257,30,FALSE)</f>
        <v>#N/A</v>
      </c>
      <c r="L56" s="12" t="e">
        <f>G56-K56</f>
        <v>#N/A</v>
      </c>
      <c r="M56" s="912" t="e">
        <f>IF(L56=0,0,IF((AND(K56=0,G56&gt;0)),1,IF((AND(K56=0,G56&lt;0)),-1,L56/ABS(K56))))</f>
        <v>#N/A</v>
      </c>
      <c r="N56" s="915" t="e">
        <f>IF(OR((ABS(L56)&gt;19800000),AND(ABS(L56)&gt;9900000,ABS(M56)&gt;0.1)),"yes","-")</f>
        <v>#N/A</v>
      </c>
      <c r="O56" s="13"/>
      <c r="P56" s="12" t="e">
        <f>HLOOKUP($K$23,'Foundation-PY FST $'!$A$1:$AB$230,30,FALSE)</f>
        <v>#N/A</v>
      </c>
      <c r="Q56" s="12" t="e">
        <f>H56-P56</f>
        <v>#N/A</v>
      </c>
      <c r="R56" s="912" t="e">
        <f>IF(Q56=0,0,IF((AND(P56=0,H56&gt;0)),1,IF((AND(P56=0,H56&lt;0)),-1,Q56/ABS(P56))))</f>
        <v>#N/A</v>
      </c>
      <c r="S56" s="915" t="e">
        <f>IF(OR((ABS(Q56)&gt;19800000),AND(ABS(Q56)&gt;9900000,ABS(R56)&gt;0.1)),"yes","-")</f>
        <v>#N/A</v>
      </c>
      <c r="T56" s="13"/>
      <c r="U56" s="13"/>
      <c r="V56" s="13"/>
      <c r="W56" s="13"/>
      <c r="X56" s="13"/>
      <c r="Y56" s="13"/>
      <c r="Z56" s="13"/>
      <c r="AA56" s="13"/>
      <c r="AB56" s="13"/>
      <c r="AC56" s="13"/>
      <c r="AD56" s="13"/>
      <c r="AE56" s="13"/>
      <c r="AF56" s="13"/>
      <c r="AG56" s="13"/>
      <c r="AH56" s="13"/>
      <c r="AI56" s="13"/>
      <c r="AJ56" s="13"/>
      <c r="AK56" s="13"/>
      <c r="AL56" s="13"/>
      <c r="AM56" s="13"/>
      <c r="AN56" s="13"/>
    </row>
    <row r="57" spans="1:40" s="10" customFormat="1" x14ac:dyDescent="0.2">
      <c r="A57" s="18" t="s">
        <v>745</v>
      </c>
      <c r="E57" s="5"/>
      <c r="F57" s="14"/>
      <c r="G57" s="194"/>
      <c r="H57" s="911">
        <f>'Combining FST'!Q27</f>
        <v>0</v>
      </c>
      <c r="I57" s="911">
        <f>'Elimination Entries to FST'!J57</f>
        <v>0</v>
      </c>
      <c r="J57" s="209">
        <f>SUM(G57:I57)</f>
        <v>0</v>
      </c>
      <c r="K57" s="12"/>
      <c r="L57" s="209"/>
      <c r="M57" s="914"/>
      <c r="N57" s="913"/>
      <c r="O57" s="918"/>
      <c r="P57" s="12" t="e">
        <f>HLOOKUP($K$23,'Foundation-PY FST $'!$A$1:$AB$230,31,FALSE)</f>
        <v>#N/A</v>
      </c>
      <c r="Q57" s="12" t="e">
        <f>H57-P57</f>
        <v>#N/A</v>
      </c>
      <c r="R57" s="912" t="e">
        <f>IF(Q57=0,0,IF((AND(P57=0,H57&gt;0)),1,IF((AND(P57=0,H57&lt;0)),-1,Q57/ABS(P57))))</f>
        <v>#N/A</v>
      </c>
      <c r="S57" s="915" t="e">
        <f>IF(OR((ABS(Q57)&gt;19800000),AND(ABS(Q57)&gt;9900000,ABS(R57)&gt;0.1)),"yes","-")</f>
        <v>#N/A</v>
      </c>
      <c r="T57" s="13"/>
      <c r="U57" s="13"/>
      <c r="V57" s="13"/>
      <c r="W57" s="13"/>
      <c r="X57" s="13"/>
      <c r="Y57" s="13"/>
      <c r="Z57" s="13"/>
      <c r="AA57" s="13"/>
      <c r="AB57" s="13"/>
      <c r="AC57" s="13"/>
      <c r="AD57" s="13"/>
      <c r="AE57" s="13"/>
      <c r="AF57" s="13"/>
      <c r="AG57" s="13"/>
      <c r="AH57" s="13"/>
      <c r="AI57" s="13"/>
      <c r="AJ57" s="13"/>
      <c r="AK57" s="13"/>
      <c r="AL57" s="13"/>
      <c r="AM57" s="13"/>
      <c r="AN57" s="13"/>
    </row>
    <row r="58" spans="1:40" s="10" customFormat="1" x14ac:dyDescent="0.2">
      <c r="A58" s="18" t="s">
        <v>91</v>
      </c>
      <c r="E58" s="11"/>
      <c r="F58" s="11"/>
      <c r="G58" s="29"/>
      <c r="H58" s="194"/>
      <c r="I58" s="911">
        <f>'Elimination Entries to FST'!J58</f>
        <v>0</v>
      </c>
      <c r="J58" s="209">
        <f>SUM(G58:I58)</f>
        <v>0</v>
      </c>
      <c r="K58" s="12" t="e">
        <f>HLOOKUP($K$23,'HEI-PY FST $'!$A$1:$AB$257,32,FALSE)</f>
        <v>#N/A</v>
      </c>
      <c r="L58" s="12" t="e">
        <f>G58-K58</f>
        <v>#N/A</v>
      </c>
      <c r="M58" s="912" t="e">
        <f>IF(L58=0,0,IF((AND(K58=0,G58&gt;0)),1,IF((AND(K58=0,G58&lt;0)),-1,L58/ABS(K58))))</f>
        <v>#N/A</v>
      </c>
      <c r="N58" s="915" t="e">
        <f>IF(OR((ABS(L58)&gt;19800000),AND(ABS(L58)&gt;9900000,ABS(M58)&gt;0.1)),"yes","-")</f>
        <v>#N/A</v>
      </c>
      <c r="O58" s="13"/>
      <c r="P58" s="12"/>
      <c r="Q58" s="209"/>
      <c r="R58" s="914"/>
      <c r="S58" s="913"/>
      <c r="T58" s="13"/>
      <c r="U58" s="928" t="s">
        <v>821</v>
      </c>
      <c r="V58" s="13"/>
      <c r="W58" s="13"/>
      <c r="X58" s="13"/>
      <c r="Y58" s="13"/>
      <c r="Z58" s="13"/>
      <c r="AA58" s="13"/>
      <c r="AB58" s="13"/>
      <c r="AC58" s="13"/>
      <c r="AD58" s="13"/>
      <c r="AE58" s="13"/>
      <c r="AF58" s="13"/>
      <c r="AG58" s="13"/>
      <c r="AH58" s="13"/>
      <c r="AI58" s="13"/>
      <c r="AJ58" s="13"/>
      <c r="AK58" s="13"/>
      <c r="AL58" s="13"/>
      <c r="AM58" s="13"/>
      <c r="AN58" s="13"/>
    </row>
    <row r="59" spans="1:40" s="10" customFormat="1" x14ac:dyDescent="0.2">
      <c r="A59" s="10" t="s">
        <v>517</v>
      </c>
      <c r="E59" s="11" t="s">
        <v>220</v>
      </c>
      <c r="F59" s="11"/>
      <c r="G59" s="194"/>
      <c r="H59" s="911">
        <f>'Combining FST'!Q28</f>
        <v>0</v>
      </c>
      <c r="I59" s="911">
        <f>'Elimination Entries to FST'!J59</f>
        <v>0</v>
      </c>
      <c r="J59" s="265">
        <f>IF(SUM(G59:I59)=0,SUM(G59:I59),"ERROR")</f>
        <v>0</v>
      </c>
      <c r="K59" s="12"/>
      <c r="L59" s="209"/>
      <c r="M59" s="914"/>
      <c r="N59" s="913"/>
      <c r="O59" s="13"/>
      <c r="P59" s="12" t="e">
        <f>HLOOKUP($K$23,'Foundation-PY FST $'!$A$1:$AB$230,33,FALSE)</f>
        <v>#N/A</v>
      </c>
      <c r="Q59" s="12" t="e">
        <f>H59-P59</f>
        <v>#N/A</v>
      </c>
      <c r="R59" s="912" t="e">
        <f>IF(Q59=0,0,IF((AND(P59=0,H59&gt;0)),1,IF((AND(P59=0,H59&lt;0)),-1,Q59/ABS(P59))))</f>
        <v>#N/A</v>
      </c>
      <c r="S59" s="915" t="e">
        <f>IF(OR((ABS(Q59)&gt;19800000),AND(ABS(Q59)&gt;9900000,ABS(R59)&gt;0.1)),"yes","-")</f>
        <v>#N/A</v>
      </c>
      <c r="T59" s="13"/>
      <c r="U59" s="929">
        <f>SUM(G59:I59)</f>
        <v>0</v>
      </c>
      <c r="V59" s="13"/>
      <c r="W59" s="13"/>
      <c r="X59" s="13"/>
      <c r="Y59" s="13"/>
      <c r="Z59" s="13"/>
      <c r="AA59" s="13"/>
      <c r="AB59" s="13"/>
      <c r="AC59" s="13"/>
      <c r="AD59" s="13"/>
      <c r="AE59" s="13"/>
      <c r="AF59" s="13"/>
      <c r="AG59" s="13"/>
      <c r="AH59" s="13"/>
      <c r="AI59" s="13"/>
      <c r="AJ59" s="13"/>
      <c r="AK59" s="13"/>
      <c r="AL59" s="13"/>
      <c r="AM59" s="13"/>
      <c r="AN59" s="13"/>
    </row>
    <row r="60" spans="1:40" s="10" customFormat="1" x14ac:dyDescent="0.2">
      <c r="A60" s="10" t="s">
        <v>461</v>
      </c>
      <c r="E60" s="11" t="s">
        <v>220</v>
      </c>
      <c r="F60" s="11"/>
      <c r="G60" s="193"/>
      <c r="H60" s="927">
        <f>'Combining FST'!Q29</f>
        <v>0</v>
      </c>
      <c r="I60" s="911">
        <f>'Elimination Entries to FST'!J60</f>
        <v>0</v>
      </c>
      <c r="J60" s="265">
        <f>IF(SUM(G60:I60)=0,SUM(G60:I60),"ERROR")</f>
        <v>0</v>
      </c>
      <c r="K60" s="12" t="e">
        <f>HLOOKUP($K$23,'HEI-PY FST $'!$A$1:$AB$257,34,FALSE)</f>
        <v>#N/A</v>
      </c>
      <c r="L60" s="12" t="e">
        <f>G60-K60</f>
        <v>#N/A</v>
      </c>
      <c r="M60" s="912" t="e">
        <f>IF(L60=0,0,IF((AND(K60=0,G60&gt;0)),1,IF((AND(K60=0,G60&lt;0)),-1,L60/ABS(K60))))</f>
        <v>#N/A</v>
      </c>
      <c r="N60" s="915" t="e">
        <f>IF(OR((ABS(L60)&gt;19800000),AND(ABS(L60)&gt;9900000,ABS(M60)&gt;0.1)),"yes","-")</f>
        <v>#N/A</v>
      </c>
      <c r="O60" s="13"/>
      <c r="P60" s="12" t="e">
        <f>HLOOKUP($K$23,'Foundation-PY FST $'!$A$1:$AB$230,34,FALSE)</f>
        <v>#N/A</v>
      </c>
      <c r="Q60" s="12" t="e">
        <f>H60-P60</f>
        <v>#N/A</v>
      </c>
      <c r="R60" s="912" t="e">
        <f>IF(Q60=0,0,IF((AND(P60=0,H60&gt;0)),1,IF((AND(P60=0,H60&lt;0)),-1,Q60/ABS(P60))))</f>
        <v>#N/A</v>
      </c>
      <c r="S60" s="915" t="e">
        <f>IF(OR((ABS(Q60)&gt;19800000),AND(ABS(Q60)&gt;9900000,ABS(R60)&gt;0.1)),"yes","-")</f>
        <v>#N/A</v>
      </c>
      <c r="T60" s="13"/>
      <c r="U60" s="930">
        <f>SUM(G60:I60)</f>
        <v>0</v>
      </c>
      <c r="V60" s="13"/>
      <c r="W60" s="13"/>
      <c r="X60" s="13"/>
      <c r="Y60" s="13"/>
      <c r="Z60" s="13"/>
      <c r="AA60" s="13"/>
      <c r="AB60" s="13"/>
      <c r="AC60" s="13"/>
      <c r="AD60" s="13"/>
      <c r="AE60" s="13"/>
      <c r="AF60" s="13"/>
      <c r="AG60" s="13"/>
      <c r="AH60" s="13"/>
      <c r="AI60" s="13"/>
      <c r="AJ60" s="13"/>
      <c r="AK60" s="13"/>
      <c r="AL60" s="13"/>
      <c r="AM60" s="13"/>
      <c r="AN60" s="13"/>
    </row>
    <row r="61" spans="1:40" s="10" customFormat="1" x14ac:dyDescent="0.2">
      <c r="E61" s="11"/>
      <c r="F61" s="11"/>
      <c r="G61" s="12"/>
      <c r="H61" s="12"/>
      <c r="I61" s="12"/>
      <c r="J61" s="12"/>
      <c r="K61" s="12"/>
      <c r="L61" s="12"/>
      <c r="M61" s="912"/>
      <c r="N61" s="924"/>
      <c r="O61" s="13"/>
      <c r="P61" s="12"/>
      <c r="Q61" s="12"/>
      <c r="R61" s="912"/>
      <c r="S61" s="924"/>
      <c r="T61" s="13"/>
      <c r="U61" s="13"/>
      <c r="V61" s="13"/>
      <c r="W61" s="13"/>
      <c r="X61" s="13"/>
      <c r="Y61" s="13"/>
      <c r="Z61" s="13"/>
      <c r="AA61" s="13"/>
      <c r="AB61" s="13"/>
      <c r="AC61" s="13"/>
      <c r="AD61" s="13"/>
      <c r="AE61" s="13"/>
      <c r="AF61" s="13"/>
      <c r="AG61" s="13"/>
      <c r="AH61" s="13"/>
      <c r="AI61" s="13"/>
      <c r="AJ61" s="13"/>
      <c r="AK61" s="13"/>
      <c r="AL61" s="13"/>
      <c r="AM61" s="13"/>
      <c r="AN61" s="13"/>
    </row>
    <row r="62" spans="1:40" s="10" customFormat="1" x14ac:dyDescent="0.2">
      <c r="A62" s="18" t="s">
        <v>766</v>
      </c>
      <c r="E62" s="11" t="s">
        <v>812</v>
      </c>
      <c r="F62" s="14"/>
      <c r="G62" s="29"/>
      <c r="H62" s="911">
        <f>'Combining FST'!Q31</f>
        <v>0</v>
      </c>
      <c r="I62" s="911">
        <f>'Elimination Entries to FST'!J62</f>
        <v>0</v>
      </c>
      <c r="J62" s="209">
        <f>SUM(G62:I62)</f>
        <v>0</v>
      </c>
      <c r="K62" s="12" t="e">
        <f>HLOOKUP($K$23,'HEI-PY FST $'!$A$1:$AB$257,36,FALSE)</f>
        <v>#N/A</v>
      </c>
      <c r="L62" s="12" t="e">
        <f>G62-K62</f>
        <v>#N/A</v>
      </c>
      <c r="M62" s="912" t="e">
        <f>IF(L62=0,0,IF((AND(K62=0,G62&gt;0)),1,IF((AND(K62=0,G62&lt;0)),-1,L62/ABS(K62))))</f>
        <v>#N/A</v>
      </c>
      <c r="N62" s="915" t="e">
        <f>IF(OR((ABS(L62)&gt;19800000),AND(ABS(L62)&gt;9900000,ABS(M62)&gt;0.1)),"yes","-")</f>
        <v>#N/A</v>
      </c>
      <c r="O62" s="13"/>
      <c r="P62" s="12" t="e">
        <f>HLOOKUP($K$23,'Foundation-PY FST $'!$A$1:$AB$230,36,FALSE)</f>
        <v>#N/A</v>
      </c>
      <c r="Q62" s="12" t="e">
        <f>H62-P62</f>
        <v>#N/A</v>
      </c>
      <c r="R62" s="912" t="e">
        <f>IF(Q62=0,0,IF((AND(P62=0,H62&gt;0)),1,IF((AND(P62=0,H62&lt;0)),-1,Q62/ABS(P62))))</f>
        <v>#N/A</v>
      </c>
      <c r="S62" s="915" t="e">
        <f>IF(OR((ABS(Q62)&gt;19800000),AND(ABS(Q62)&gt;9900000,ABS(R62)&gt;0.1)),"yes","-")</f>
        <v>#N/A</v>
      </c>
      <c r="T62" s="13"/>
      <c r="U62" s="13"/>
      <c r="V62" s="13"/>
      <c r="W62" s="13"/>
      <c r="X62" s="13"/>
      <c r="Y62" s="13"/>
      <c r="Z62" s="13"/>
      <c r="AA62" s="13"/>
      <c r="AB62" s="13"/>
      <c r="AC62" s="13"/>
      <c r="AD62" s="13"/>
      <c r="AE62" s="13"/>
      <c r="AF62" s="13"/>
      <c r="AG62" s="13"/>
      <c r="AH62" s="13"/>
      <c r="AI62" s="13"/>
      <c r="AJ62" s="13"/>
      <c r="AK62" s="13"/>
      <c r="AL62" s="13"/>
      <c r="AM62" s="13"/>
      <c r="AN62" s="13"/>
    </row>
    <row r="63" spans="1:40" s="10" customFormat="1" x14ac:dyDescent="0.2">
      <c r="A63" s="18" t="s">
        <v>483</v>
      </c>
      <c r="E63" s="11"/>
      <c r="F63" s="11"/>
      <c r="G63" s="29"/>
      <c r="H63" s="911">
        <f>'Combining FST'!Q32</f>
        <v>0</v>
      </c>
      <c r="I63" s="911">
        <f>'Elimination Entries to FST'!J63</f>
        <v>0</v>
      </c>
      <c r="J63" s="209">
        <f>SUM(G63:I63)</f>
        <v>0</v>
      </c>
      <c r="K63" s="12" t="e">
        <f>HLOOKUP($K$23,'HEI-PY FST $'!$A$1:$AB$257,37,FALSE)</f>
        <v>#N/A</v>
      </c>
      <c r="L63" s="12" t="e">
        <f>G63-K63</f>
        <v>#N/A</v>
      </c>
      <c r="M63" s="912" t="e">
        <f>IF(L63=0,0,IF((AND(K63=0,G63&gt;0)),1,IF((AND(K63=0,G63&lt;0)),-1,L63/ABS(K63))))</f>
        <v>#N/A</v>
      </c>
      <c r="N63" s="915" t="e">
        <f>IF(OR((ABS(L63)&gt;19800000),AND(ABS(L63)&gt;9900000,ABS(M63)&gt;0.1)),"yes","-")</f>
        <v>#N/A</v>
      </c>
      <c r="O63" s="13"/>
      <c r="P63" s="12" t="e">
        <f>HLOOKUP($K$23,'Foundation-PY FST $'!$A$1:$AB$230,37,FALSE)</f>
        <v>#N/A</v>
      </c>
      <c r="Q63" s="12" t="e">
        <f>H63-P63</f>
        <v>#N/A</v>
      </c>
      <c r="R63" s="912" t="e">
        <f>IF(Q63=0,0,IF((AND(P63=0,H63&gt;0)),1,IF((AND(P63=0,H63&lt;0)),-1,Q63/ABS(P63))))</f>
        <v>#N/A</v>
      </c>
      <c r="S63" s="915" t="e">
        <f>IF(OR((ABS(Q63)&gt;19800000),AND(ABS(Q63)&gt;9900000,ABS(R63)&gt;0.1)),"yes","-")</f>
        <v>#N/A</v>
      </c>
      <c r="T63" s="13"/>
      <c r="U63" s="13"/>
      <c r="V63" s="13"/>
      <c r="W63" s="13"/>
      <c r="X63" s="13"/>
      <c r="Y63" s="13"/>
      <c r="Z63" s="13"/>
      <c r="AA63" s="13"/>
      <c r="AB63" s="13"/>
      <c r="AC63" s="13"/>
      <c r="AD63" s="13"/>
      <c r="AE63" s="13"/>
      <c r="AF63" s="13"/>
      <c r="AG63" s="13"/>
      <c r="AH63" s="13"/>
      <c r="AI63" s="13"/>
      <c r="AJ63" s="13"/>
      <c r="AK63" s="13"/>
      <c r="AL63" s="13"/>
      <c r="AM63" s="13"/>
      <c r="AN63" s="13"/>
    </row>
    <row r="64" spans="1:40" s="10" customFormat="1" x14ac:dyDescent="0.2">
      <c r="E64" s="11"/>
      <c r="F64" s="11"/>
      <c r="G64" s="12"/>
      <c r="H64" s="12"/>
      <c r="I64" s="12"/>
      <c r="J64" s="12"/>
      <c r="K64" s="12"/>
      <c r="L64" s="12"/>
      <c r="M64" s="912"/>
      <c r="N64" s="924"/>
      <c r="O64" s="13"/>
      <c r="P64" s="12"/>
      <c r="Q64" s="12"/>
      <c r="R64" s="912"/>
      <c r="S64" s="924"/>
      <c r="T64" s="13"/>
      <c r="U64" s="13"/>
      <c r="V64" s="13"/>
      <c r="W64" s="13"/>
      <c r="X64" s="13"/>
      <c r="Y64" s="13"/>
      <c r="Z64" s="13"/>
      <c r="AA64" s="13"/>
      <c r="AB64" s="13"/>
      <c r="AC64" s="13"/>
      <c r="AD64" s="13"/>
      <c r="AE64" s="13"/>
      <c r="AF64" s="13"/>
      <c r="AG64" s="13"/>
      <c r="AH64" s="13"/>
      <c r="AI64" s="13"/>
      <c r="AJ64" s="13"/>
      <c r="AK64" s="13"/>
      <c r="AL64" s="13"/>
      <c r="AM64" s="13"/>
      <c r="AN64" s="13"/>
    </row>
    <row r="65" spans="1:40" s="10" customFormat="1" x14ac:dyDescent="0.2">
      <c r="A65" s="10" t="s">
        <v>78</v>
      </c>
      <c r="E65" s="11"/>
      <c r="F65" s="11"/>
      <c r="G65" s="29"/>
      <c r="H65" s="911">
        <f>'Combining FST'!Q34</f>
        <v>0</v>
      </c>
      <c r="I65" s="911">
        <f>'Elimination Entries to FST'!J65</f>
        <v>0</v>
      </c>
      <c r="J65" s="209">
        <f>SUM(G65:I65)</f>
        <v>0</v>
      </c>
      <c r="K65" s="12" t="e">
        <f>HLOOKUP($K$23,'HEI-PY FST $'!$A$1:$AB$257,39,FALSE)</f>
        <v>#N/A</v>
      </c>
      <c r="L65" s="12" t="e">
        <f>G65-K65</f>
        <v>#N/A</v>
      </c>
      <c r="M65" s="912" t="e">
        <f t="shared" ref="M65:M72" si="6">IF(L65=0,0,IF((AND(K65=0,G65&gt;0)),1,IF((AND(K65=0,G65&lt;0)),-1,L65/ABS(K65))))</f>
        <v>#N/A</v>
      </c>
      <c r="N65" s="915" t="e">
        <f>IF(OR((ABS(L65)&gt;19800000),AND(ABS(L65)&gt;9900000,ABS(M65)&gt;0.1)),"yes","-")</f>
        <v>#N/A</v>
      </c>
      <c r="O65" s="13"/>
      <c r="P65" s="12" t="e">
        <f>HLOOKUP($K$23,'Foundation-PY FST $'!$A$1:$AB$230,39,FALSE)</f>
        <v>#N/A</v>
      </c>
      <c r="Q65" s="12" t="e">
        <f>H65-P65</f>
        <v>#N/A</v>
      </c>
      <c r="R65" s="912" t="e">
        <f>IF(Q65=0,0,IF((AND(P65=0,H65&gt;0)),1,IF((AND(P65=0,H65&lt;0)),-1,Q65/ABS(P65))))</f>
        <v>#N/A</v>
      </c>
      <c r="S65" s="915" t="e">
        <f>IF(OR((ABS(Q65)&gt;19800000),AND(ABS(Q65)&gt;9900000,ABS(R65)&gt;0.1)),"yes","-")</f>
        <v>#N/A</v>
      </c>
      <c r="T65" s="13"/>
      <c r="U65" s="13"/>
      <c r="V65" s="13"/>
      <c r="W65" s="13"/>
      <c r="X65" s="13"/>
      <c r="Y65" s="13"/>
      <c r="Z65" s="13"/>
      <c r="AA65" s="13"/>
      <c r="AB65" s="13"/>
      <c r="AC65" s="13"/>
      <c r="AD65" s="13"/>
      <c r="AE65" s="13"/>
      <c r="AF65" s="13"/>
      <c r="AG65" s="13"/>
      <c r="AH65" s="13"/>
      <c r="AI65" s="13"/>
      <c r="AJ65" s="13"/>
      <c r="AK65" s="13"/>
      <c r="AL65" s="13"/>
      <c r="AM65" s="13"/>
      <c r="AN65" s="13"/>
    </row>
    <row r="66" spans="1:40" s="10" customFormat="1" x14ac:dyDescent="0.2">
      <c r="A66" s="211" t="s">
        <v>1313</v>
      </c>
      <c r="E66" s="11"/>
      <c r="F66" s="11"/>
      <c r="G66" s="29"/>
      <c r="H66" s="194"/>
      <c r="I66" s="911">
        <f>'Elimination Entries to FST'!J66</f>
        <v>0</v>
      </c>
      <c r="J66" s="209">
        <f>SUM(G66:I66)</f>
        <v>0</v>
      </c>
      <c r="K66" s="12" t="e">
        <f>HLOOKUP($K$23,'HEI-PY FST $'!$A$1:$AB$257,40,FALSE)</f>
        <v>#N/A</v>
      </c>
      <c r="L66" s="12" t="e">
        <f>G66-K66</f>
        <v>#N/A</v>
      </c>
      <c r="M66" s="912" t="e">
        <f t="shared" si="6"/>
        <v>#N/A</v>
      </c>
      <c r="N66" s="915" t="e">
        <f>IF(OR((ABS(L66)&gt;19800000),AND(ABS(L66)&gt;9900000,ABS(M66)&gt;0.1)),"yes","-")</f>
        <v>#N/A</v>
      </c>
      <c r="O66" s="13"/>
      <c r="P66" s="12"/>
      <c r="Q66" s="209"/>
      <c r="R66" s="914"/>
      <c r="S66" s="913"/>
      <c r="T66" s="13"/>
      <c r="U66" s="13"/>
      <c r="V66" s="13"/>
      <c r="W66" s="13"/>
      <c r="X66" s="13"/>
      <c r="Y66" s="13"/>
      <c r="Z66" s="13"/>
      <c r="AA66" s="13"/>
      <c r="AB66" s="13"/>
      <c r="AC66" s="13"/>
      <c r="AD66" s="13"/>
      <c r="AE66" s="13"/>
      <c r="AF66" s="13"/>
      <c r="AG66" s="13"/>
      <c r="AH66" s="13"/>
      <c r="AI66" s="13"/>
      <c r="AJ66" s="13"/>
      <c r="AK66" s="13"/>
      <c r="AL66" s="13"/>
      <c r="AM66" s="13"/>
      <c r="AN66" s="13"/>
    </row>
    <row r="67" spans="1:40" s="10" customFormat="1" hidden="1" x14ac:dyDescent="0.2">
      <c r="A67" s="686"/>
      <c r="B67" s="686"/>
      <c r="C67" s="686"/>
      <c r="D67" s="686"/>
      <c r="E67" s="11"/>
      <c r="F67" s="11"/>
      <c r="G67" s="872"/>
      <c r="H67" s="209"/>
      <c r="I67" s="209"/>
      <c r="J67" s="209"/>
      <c r="K67" s="209"/>
      <c r="L67" s="209"/>
      <c r="M67" s="914"/>
      <c r="N67" s="915" t="str">
        <f>IF(OR((ABS(L67)&gt;19800000),AND(ABS(L67)&gt;9900000,ABS(M67)&gt;0.1)),"yes","-")</f>
        <v>-</v>
      </c>
      <c r="O67" s="918"/>
      <c r="P67" s="209"/>
      <c r="Q67" s="209"/>
      <c r="R67" s="914"/>
      <c r="S67" s="913"/>
      <c r="T67" s="13"/>
      <c r="U67" s="13"/>
      <c r="V67" s="13"/>
      <c r="W67" s="13"/>
      <c r="X67" s="13"/>
      <c r="Y67" s="13"/>
      <c r="Z67" s="13"/>
      <c r="AA67" s="13"/>
      <c r="AB67" s="13"/>
      <c r="AC67" s="13"/>
      <c r="AD67" s="13"/>
      <c r="AE67" s="13"/>
      <c r="AF67" s="13"/>
      <c r="AG67" s="13"/>
      <c r="AH67" s="13"/>
      <c r="AI67" s="13"/>
      <c r="AJ67" s="13"/>
      <c r="AK67" s="13"/>
      <c r="AL67" s="13"/>
      <c r="AM67" s="13"/>
      <c r="AN67" s="13"/>
    </row>
    <row r="68" spans="1:40" s="10" customFormat="1" x14ac:dyDescent="0.2">
      <c r="A68" s="10" t="s">
        <v>485</v>
      </c>
      <c r="E68" s="2" t="s">
        <v>1029</v>
      </c>
      <c r="F68" s="11"/>
      <c r="G68" s="29"/>
      <c r="H68" s="911">
        <f>'Combining FST'!Q36</f>
        <v>0</v>
      </c>
      <c r="I68" s="911">
        <f>'Elimination Entries to FST'!J68</f>
        <v>0</v>
      </c>
      <c r="J68" s="209">
        <f>SUM(G68:I68)</f>
        <v>0</v>
      </c>
      <c r="K68" s="12" t="e">
        <f>HLOOKUP($K$23,'HEI-PY FST $'!$A$1:$AB$257,42,FALSE)</f>
        <v>#N/A</v>
      </c>
      <c r="L68" s="12" t="e">
        <f>G68-K68</f>
        <v>#N/A</v>
      </c>
      <c r="M68" s="912" t="e">
        <f t="shared" si="6"/>
        <v>#N/A</v>
      </c>
      <c r="N68" s="915" t="e">
        <f>IF(OR((ABS(L68)&gt;19800000),AND(ABS(L68)&gt;9900000,ABS(M68)&gt;0.1)),"yes","-")</f>
        <v>#N/A</v>
      </c>
      <c r="O68" s="13"/>
      <c r="P68" s="12" t="e">
        <f>HLOOKUP($K$23,'Foundation-PY FST $'!$A$1:$AB$230,42,FALSE)</f>
        <v>#N/A</v>
      </c>
      <c r="Q68" s="12" t="e">
        <f>H68-P68</f>
        <v>#N/A</v>
      </c>
      <c r="R68" s="912" t="e">
        <f>IF(Q68=0,0,IF((AND(P68=0,H68&gt;0)),1,IF((AND(P68=0,H68&lt;0)),-1,Q68/ABS(P68))))</f>
        <v>#N/A</v>
      </c>
      <c r="S68" s="915" t="e">
        <f>IF(OR((ABS(Q68)&gt;19800000),AND(ABS(Q68)&gt;9900000,ABS(R68)&gt;0.1)),"yes","-")</f>
        <v>#N/A</v>
      </c>
      <c r="T68" s="13"/>
      <c r="U68" s="13"/>
      <c r="V68" s="13"/>
      <c r="W68" s="13"/>
      <c r="X68" s="13"/>
      <c r="Y68" s="13"/>
      <c r="Z68" s="13"/>
      <c r="AA68" s="13"/>
      <c r="AB68" s="13"/>
      <c r="AC68" s="13"/>
      <c r="AD68" s="13"/>
      <c r="AE68" s="13"/>
      <c r="AF68" s="13"/>
      <c r="AG68" s="13"/>
      <c r="AH68" s="13"/>
      <c r="AI68" s="13"/>
      <c r="AJ68" s="13"/>
      <c r="AK68" s="13"/>
      <c r="AL68" s="13"/>
      <c r="AM68" s="13"/>
      <c r="AN68" s="13"/>
    </row>
    <row r="69" spans="1:40" s="10" customFormat="1" x14ac:dyDescent="0.2">
      <c r="C69" s="18" t="s">
        <v>486</v>
      </c>
      <c r="E69" s="11"/>
      <c r="F69" s="11"/>
      <c r="G69" s="15">
        <f>SUM(G65:G68)</f>
        <v>0</v>
      </c>
      <c r="H69" s="15">
        <f t="shared" ref="H69:L69" si="7">SUM(H65:H68)</f>
        <v>0</v>
      </c>
      <c r="I69" s="15">
        <f t="shared" si="7"/>
        <v>0</v>
      </c>
      <c r="J69" s="15">
        <f t="shared" si="7"/>
        <v>0</v>
      </c>
      <c r="K69" s="15" t="e">
        <f t="shared" si="7"/>
        <v>#N/A</v>
      </c>
      <c r="L69" s="15" t="e">
        <f t="shared" si="7"/>
        <v>#N/A</v>
      </c>
      <c r="M69" s="919" t="e">
        <f t="shared" si="6"/>
        <v>#N/A</v>
      </c>
      <c r="N69" s="7"/>
      <c r="P69" s="15" t="e">
        <f>SUM(P65:P68)</f>
        <v>#N/A</v>
      </c>
      <c r="Q69" s="15" t="e">
        <f>SUM(Q65:Q68)</f>
        <v>#N/A</v>
      </c>
      <c r="R69" s="921" t="e">
        <f>IF(Q69=0,0,IF((AND(P69=0,H69&gt;0)),1,IF((AND(P69=0,H69&lt;0)),-1,Q69/ABS(P69))))</f>
        <v>#N/A</v>
      </c>
      <c r="S69" s="7"/>
    </row>
    <row r="70" spans="1:40" s="10" customFormat="1" ht="39" customHeight="1" x14ac:dyDescent="0.2">
      <c r="A70" s="1169"/>
      <c r="B70" s="1169"/>
      <c r="C70" s="1169"/>
      <c r="D70" s="1169"/>
      <c r="E70" s="1169"/>
      <c r="F70" s="11"/>
      <c r="G70" s="17"/>
      <c r="H70" s="17"/>
      <c r="I70" s="17"/>
      <c r="J70" s="17"/>
      <c r="K70" s="17"/>
      <c r="L70" s="17"/>
      <c r="M70" s="922"/>
      <c r="N70" s="7"/>
      <c r="P70" s="17"/>
      <c r="Q70" s="17"/>
      <c r="R70" s="922"/>
      <c r="S70" s="7"/>
    </row>
    <row r="71" spans="1:40" s="10" customFormat="1" x14ac:dyDescent="0.2">
      <c r="A71" s="18" t="s">
        <v>349</v>
      </c>
      <c r="E71" s="11"/>
      <c r="F71" s="11"/>
      <c r="G71" s="29"/>
      <c r="H71" s="194"/>
      <c r="I71" s="911">
        <f>'Elimination Entries to FST'!J71</f>
        <v>0</v>
      </c>
      <c r="J71" s="209">
        <f>SUM(G71:I71)</f>
        <v>0</v>
      </c>
      <c r="K71" s="12" t="e">
        <f>HLOOKUP($K$23,'HEI-PY FST $'!$A$1:$AB$257,45,FALSE)</f>
        <v>#N/A</v>
      </c>
      <c r="L71" s="12" t="e">
        <f>G71-K71</f>
        <v>#N/A</v>
      </c>
      <c r="M71" s="912" t="e">
        <f t="shared" si="6"/>
        <v>#N/A</v>
      </c>
      <c r="N71" s="915" t="e">
        <f>IF(OR((ABS(L71)&gt;19800000),AND(ABS(L71)&gt;9900000,ABS(M71)&gt;0.1)),"yes","-")</f>
        <v>#N/A</v>
      </c>
      <c r="P71" s="17"/>
      <c r="Q71" s="209"/>
      <c r="R71" s="914"/>
      <c r="S71" s="7"/>
    </row>
    <row r="72" spans="1:40" s="10" customFormat="1" x14ac:dyDescent="0.2">
      <c r="A72" s="18" t="s">
        <v>350</v>
      </c>
      <c r="E72" s="11"/>
      <c r="F72" s="11"/>
      <c r="G72" s="29"/>
      <c r="H72" s="194"/>
      <c r="I72" s="911">
        <f>'Elimination Entries to FST'!J72</f>
        <v>0</v>
      </c>
      <c r="J72" s="209">
        <f>SUM(G72:I72)</f>
        <v>0</v>
      </c>
      <c r="K72" s="12" t="e">
        <f>HLOOKUP($K$23,'HEI-PY FST $'!$A$1:$AB$257,46,FALSE)</f>
        <v>#N/A</v>
      </c>
      <c r="L72" s="12" t="e">
        <f>G72-K72</f>
        <v>#N/A</v>
      </c>
      <c r="M72" s="912" t="e">
        <f t="shared" si="6"/>
        <v>#N/A</v>
      </c>
      <c r="N72" s="915" t="e">
        <f>IF(OR((ABS(L72)&gt;19800000),AND(ABS(L72)&gt;9900000,ABS(M72)&gt;0.1)),"yes","-")</f>
        <v>#N/A</v>
      </c>
      <c r="P72" s="17"/>
      <c r="Q72" s="209"/>
      <c r="R72" s="914"/>
      <c r="S72" s="7"/>
    </row>
    <row r="73" spans="1:40" s="10" customFormat="1" x14ac:dyDescent="0.2">
      <c r="C73" s="18"/>
      <c r="E73" s="11"/>
      <c r="F73" s="11"/>
      <c r="G73" s="17"/>
      <c r="H73" s="17"/>
      <c r="I73" s="17"/>
      <c r="J73" s="17"/>
      <c r="K73" s="17"/>
      <c r="L73" s="17"/>
      <c r="M73" s="931"/>
      <c r="N73" s="7"/>
      <c r="P73" s="17"/>
      <c r="Q73" s="17"/>
      <c r="R73" s="931"/>
      <c r="S73" s="7"/>
    </row>
    <row r="74" spans="1:40" s="10" customFormat="1" x14ac:dyDescent="0.2">
      <c r="E74" s="11"/>
      <c r="F74" s="11"/>
      <c r="G74" s="17"/>
      <c r="H74" s="17"/>
      <c r="I74" s="17"/>
      <c r="J74" s="17"/>
      <c r="K74" s="17"/>
      <c r="L74" s="17"/>
      <c r="M74" s="922"/>
      <c r="N74" s="7"/>
      <c r="P74" s="17"/>
      <c r="Q74" s="17"/>
      <c r="R74" s="922"/>
      <c r="S74" s="7"/>
    </row>
    <row r="75" spans="1:40" s="10" customFormat="1" x14ac:dyDescent="0.2">
      <c r="A75" s="10" t="s">
        <v>355</v>
      </c>
      <c r="E75" s="10" t="s">
        <v>111</v>
      </c>
      <c r="F75" s="14"/>
      <c r="G75" s="29"/>
      <c r="H75" s="194"/>
      <c r="I75" s="911">
        <f>'Elimination Entries to FST'!J75</f>
        <v>0</v>
      </c>
      <c r="J75" s="209">
        <f t="shared" ref="J75:J82" si="8">SUM(G75:I75)</f>
        <v>0</v>
      </c>
      <c r="K75" s="12" t="e">
        <f>HLOOKUP($K$23,'HEI-PY FST $'!$A$1:$AB$257,49,FALSE)</f>
        <v>#N/A</v>
      </c>
      <c r="L75" s="12" t="e">
        <f t="shared" ref="L75:L81" si="9">G75-K75</f>
        <v>#N/A</v>
      </c>
      <c r="M75" s="912" t="e">
        <f t="shared" ref="M75:M81" si="10">IF(L75=0,0,IF((AND(K75=0,G75&gt;0)),1,IF((AND(K75=0,G75&lt;0)),-1,L75/ABS(K75))))</f>
        <v>#N/A</v>
      </c>
      <c r="N75" s="913"/>
      <c r="O75" s="13"/>
      <c r="P75" s="12"/>
      <c r="Q75" s="209"/>
      <c r="R75" s="914"/>
      <c r="S75" s="913"/>
      <c r="T75" s="13"/>
      <c r="U75" s="13"/>
      <c r="V75" s="13"/>
      <c r="W75" s="13"/>
      <c r="X75" s="13"/>
      <c r="Y75" s="13"/>
      <c r="Z75" s="13"/>
      <c r="AA75" s="13"/>
      <c r="AB75" s="13"/>
      <c r="AC75" s="13"/>
      <c r="AD75" s="13"/>
      <c r="AE75" s="13"/>
      <c r="AF75" s="13"/>
      <c r="AG75" s="13"/>
      <c r="AH75" s="13"/>
      <c r="AI75" s="13"/>
      <c r="AJ75" s="13"/>
      <c r="AK75" s="13"/>
      <c r="AL75" s="13"/>
      <c r="AM75" s="13"/>
      <c r="AN75" s="13"/>
    </row>
    <row r="76" spans="1:40" s="10" customFormat="1" x14ac:dyDescent="0.2">
      <c r="A76" s="10" t="s">
        <v>356</v>
      </c>
      <c r="E76" s="10" t="s">
        <v>131</v>
      </c>
      <c r="F76" s="14"/>
      <c r="G76" s="29"/>
      <c r="H76" s="194"/>
      <c r="I76" s="911">
        <f>'Elimination Entries to FST'!J76</f>
        <v>0</v>
      </c>
      <c r="J76" s="209">
        <f t="shared" si="8"/>
        <v>0</v>
      </c>
      <c r="K76" s="12" t="e">
        <f>HLOOKUP($K$23,'HEI-PY FST $'!$A$1:$AB$257,50,FALSE)</f>
        <v>#N/A</v>
      </c>
      <c r="L76" s="12" t="e">
        <f t="shared" si="9"/>
        <v>#N/A</v>
      </c>
      <c r="M76" s="912" t="e">
        <f t="shared" si="10"/>
        <v>#N/A</v>
      </c>
      <c r="N76" s="913"/>
      <c r="O76" s="13"/>
      <c r="P76" s="12"/>
      <c r="Q76" s="209"/>
      <c r="R76" s="914"/>
      <c r="S76" s="913"/>
      <c r="T76" s="13"/>
      <c r="U76" s="13"/>
      <c r="V76" s="13"/>
      <c r="W76" s="13"/>
      <c r="X76" s="13"/>
      <c r="Y76" s="13"/>
      <c r="Z76" s="13"/>
      <c r="AA76" s="13"/>
      <c r="AB76" s="13"/>
      <c r="AC76" s="13"/>
      <c r="AD76" s="13"/>
      <c r="AE76" s="13"/>
      <c r="AF76" s="13"/>
      <c r="AG76" s="13"/>
      <c r="AH76" s="13"/>
      <c r="AI76" s="13"/>
      <c r="AJ76" s="13"/>
      <c r="AK76" s="13"/>
      <c r="AL76" s="13"/>
      <c r="AM76" s="13"/>
      <c r="AN76" s="13"/>
    </row>
    <row r="77" spans="1:40" s="10" customFormat="1" x14ac:dyDescent="0.2">
      <c r="A77" s="10" t="s">
        <v>33</v>
      </c>
      <c r="E77" s="10" t="s">
        <v>272</v>
      </c>
      <c r="F77" s="14"/>
      <c r="G77" s="29"/>
      <c r="H77" s="194"/>
      <c r="I77" s="911">
        <f>'Elimination Entries to FST'!J77</f>
        <v>0</v>
      </c>
      <c r="J77" s="209">
        <f t="shared" si="8"/>
        <v>0</v>
      </c>
      <c r="K77" s="12" t="e">
        <f>HLOOKUP($K$23,'HEI-PY FST $'!$A$1:$AB$257,51,FALSE)</f>
        <v>#N/A</v>
      </c>
      <c r="L77" s="12" t="e">
        <f t="shared" si="9"/>
        <v>#N/A</v>
      </c>
      <c r="M77" s="912" t="e">
        <f t="shared" si="10"/>
        <v>#N/A</v>
      </c>
      <c r="N77" s="913"/>
      <c r="O77" s="13"/>
      <c r="P77" s="12"/>
      <c r="Q77" s="209"/>
      <c r="R77" s="914"/>
      <c r="S77" s="913"/>
      <c r="T77" s="13"/>
      <c r="U77" s="13"/>
      <c r="V77" s="13"/>
      <c r="W77" s="13"/>
      <c r="X77" s="13"/>
      <c r="Y77" s="13"/>
      <c r="Z77" s="13"/>
      <c r="AA77" s="13"/>
      <c r="AB77" s="13"/>
      <c r="AC77" s="13"/>
      <c r="AD77" s="13"/>
      <c r="AE77" s="13"/>
      <c r="AF77" s="13"/>
      <c r="AG77" s="13"/>
      <c r="AH77" s="13"/>
      <c r="AI77" s="13"/>
      <c r="AJ77" s="13"/>
      <c r="AK77" s="13"/>
      <c r="AL77" s="13"/>
      <c r="AM77" s="13"/>
      <c r="AN77" s="13"/>
    </row>
    <row r="78" spans="1:40" s="10" customFormat="1" x14ac:dyDescent="0.2">
      <c r="A78" s="10" t="s">
        <v>34</v>
      </c>
      <c r="E78" s="10" t="s">
        <v>273</v>
      </c>
      <c r="F78" s="14"/>
      <c r="G78" s="29"/>
      <c r="H78" s="194"/>
      <c r="I78" s="911">
        <f>'Elimination Entries to FST'!J78</f>
        <v>0</v>
      </c>
      <c r="J78" s="209">
        <f t="shared" si="8"/>
        <v>0</v>
      </c>
      <c r="K78" s="12" t="e">
        <f>HLOOKUP($K$23,'HEI-PY FST $'!$A$1:$AB$257,52,FALSE)</f>
        <v>#N/A</v>
      </c>
      <c r="L78" s="12" t="e">
        <f t="shared" si="9"/>
        <v>#N/A</v>
      </c>
      <c r="M78" s="912" t="e">
        <f t="shared" si="10"/>
        <v>#N/A</v>
      </c>
      <c r="N78" s="913"/>
      <c r="O78" s="13"/>
      <c r="P78" s="12"/>
      <c r="Q78" s="209"/>
      <c r="R78" s="914"/>
      <c r="S78" s="913"/>
      <c r="T78" s="13"/>
      <c r="U78" s="13"/>
      <c r="V78" s="13"/>
      <c r="W78" s="13"/>
      <c r="X78" s="13"/>
      <c r="Y78" s="13"/>
      <c r="Z78" s="13"/>
      <c r="AA78" s="13"/>
      <c r="AB78" s="13"/>
      <c r="AC78" s="13"/>
      <c r="AD78" s="13"/>
      <c r="AE78" s="13"/>
      <c r="AF78" s="13"/>
      <c r="AG78" s="13"/>
      <c r="AH78" s="13"/>
      <c r="AI78" s="13"/>
      <c r="AJ78" s="13"/>
      <c r="AK78" s="13"/>
      <c r="AL78" s="13"/>
      <c r="AM78" s="13"/>
      <c r="AN78" s="13"/>
    </row>
    <row r="79" spans="1:40" s="10" customFormat="1" x14ac:dyDescent="0.2">
      <c r="A79" s="10" t="s">
        <v>35</v>
      </c>
      <c r="E79" s="10" t="s">
        <v>66</v>
      </c>
      <c r="F79" s="14"/>
      <c r="G79" s="29"/>
      <c r="H79" s="194"/>
      <c r="I79" s="911">
        <f>'Elimination Entries to FST'!J79</f>
        <v>0</v>
      </c>
      <c r="J79" s="209">
        <f t="shared" si="8"/>
        <v>0</v>
      </c>
      <c r="K79" s="12" t="e">
        <f>HLOOKUP($K$23,'HEI-PY FST $'!$A$1:$AB$257,53,FALSE)</f>
        <v>#N/A</v>
      </c>
      <c r="L79" s="12" t="e">
        <f t="shared" si="9"/>
        <v>#N/A</v>
      </c>
      <c r="M79" s="912" t="e">
        <f t="shared" si="10"/>
        <v>#N/A</v>
      </c>
      <c r="N79" s="913"/>
      <c r="O79" s="13"/>
      <c r="P79" s="12"/>
      <c r="Q79" s="209"/>
      <c r="R79" s="914"/>
      <c r="S79" s="913"/>
      <c r="T79" s="13"/>
      <c r="U79" s="13"/>
      <c r="V79" s="13"/>
      <c r="W79" s="13"/>
      <c r="X79" s="13"/>
      <c r="Y79" s="13"/>
      <c r="Z79" s="13"/>
      <c r="AA79" s="13"/>
      <c r="AB79" s="13"/>
      <c r="AC79" s="13"/>
      <c r="AD79" s="13"/>
      <c r="AE79" s="13"/>
      <c r="AF79" s="13"/>
      <c r="AG79" s="13"/>
      <c r="AH79" s="13"/>
      <c r="AI79" s="13"/>
      <c r="AJ79" s="13"/>
      <c r="AK79" s="13"/>
      <c r="AL79" s="13"/>
      <c r="AM79" s="13"/>
      <c r="AN79" s="13"/>
    </row>
    <row r="80" spans="1:40" s="10" customFormat="1" ht="29.25" customHeight="1" x14ac:dyDescent="0.2">
      <c r="A80" s="1164" t="s">
        <v>128</v>
      </c>
      <c r="B80" s="1164"/>
      <c r="C80" s="1164"/>
      <c r="D80" s="1164"/>
      <c r="E80" s="11" t="s">
        <v>493</v>
      </c>
      <c r="F80" s="14"/>
      <c r="G80" s="29"/>
      <c r="H80" s="194"/>
      <c r="I80" s="911">
        <f>'Elimination Entries to FST'!J80</f>
        <v>0</v>
      </c>
      <c r="J80" s="209">
        <f t="shared" si="8"/>
        <v>0</v>
      </c>
      <c r="K80" s="12" t="e">
        <f>HLOOKUP($K$23,'HEI-PY FST $'!$A$1:$AB$257,54,FALSE)</f>
        <v>#N/A</v>
      </c>
      <c r="L80" s="12" t="e">
        <f t="shared" si="9"/>
        <v>#N/A</v>
      </c>
      <c r="M80" s="912" t="e">
        <f t="shared" si="10"/>
        <v>#N/A</v>
      </c>
      <c r="N80" s="913"/>
      <c r="O80" s="13"/>
      <c r="P80" s="12"/>
      <c r="Q80" s="209"/>
      <c r="R80" s="914"/>
      <c r="S80" s="913"/>
      <c r="T80" s="13"/>
      <c r="U80" s="13"/>
      <c r="V80" s="13"/>
      <c r="W80" s="13"/>
      <c r="X80" s="13"/>
      <c r="Y80" s="13"/>
      <c r="Z80" s="13"/>
      <c r="AA80" s="13"/>
      <c r="AB80" s="13"/>
      <c r="AC80" s="13"/>
      <c r="AD80" s="13"/>
      <c r="AE80" s="13"/>
      <c r="AF80" s="13"/>
      <c r="AG80" s="13"/>
      <c r="AH80" s="13"/>
      <c r="AI80" s="13"/>
      <c r="AJ80" s="13"/>
      <c r="AK80" s="13"/>
      <c r="AL80" s="13"/>
      <c r="AM80" s="13"/>
      <c r="AN80" s="13"/>
    </row>
    <row r="81" spans="1:40" s="10" customFormat="1" ht="29.25" customHeight="1" x14ac:dyDescent="0.2">
      <c r="A81" s="1164" t="s">
        <v>394</v>
      </c>
      <c r="B81" s="1164"/>
      <c r="C81" s="1164"/>
      <c r="D81" s="1164"/>
      <c r="E81" s="11" t="s">
        <v>261</v>
      </c>
      <c r="F81" s="14"/>
      <c r="G81" s="29"/>
      <c r="H81" s="194"/>
      <c r="I81" s="911">
        <f>'Elimination Entries to FST'!J81</f>
        <v>0</v>
      </c>
      <c r="J81" s="209">
        <f t="shared" si="8"/>
        <v>0</v>
      </c>
      <c r="K81" s="12" t="e">
        <f>HLOOKUP($K$23,'HEI-PY FST $'!$A$1:$AB$257,55,FALSE)</f>
        <v>#N/A</v>
      </c>
      <c r="L81" s="12" t="e">
        <f t="shared" si="9"/>
        <v>#N/A</v>
      </c>
      <c r="M81" s="912" t="e">
        <f t="shared" si="10"/>
        <v>#N/A</v>
      </c>
      <c r="N81" s="913"/>
      <c r="O81" s="13"/>
      <c r="P81" s="12"/>
      <c r="Q81" s="209"/>
      <c r="R81" s="914"/>
      <c r="S81" s="913"/>
      <c r="T81" s="13"/>
      <c r="U81" s="13"/>
      <c r="V81" s="13"/>
      <c r="W81" s="13"/>
      <c r="X81" s="13"/>
      <c r="Y81" s="13"/>
      <c r="Z81" s="13"/>
      <c r="AA81" s="13"/>
      <c r="AB81" s="13"/>
      <c r="AC81" s="13"/>
      <c r="AD81" s="13"/>
      <c r="AE81" s="13"/>
      <c r="AF81" s="13"/>
      <c r="AG81" s="13"/>
      <c r="AH81" s="13"/>
      <c r="AI81" s="13"/>
      <c r="AJ81" s="13"/>
      <c r="AK81" s="13"/>
      <c r="AL81" s="13"/>
      <c r="AM81" s="13"/>
      <c r="AN81" s="13"/>
    </row>
    <row r="82" spans="1:40" s="10" customFormat="1" x14ac:dyDescent="0.2">
      <c r="A82" s="10" t="s">
        <v>747</v>
      </c>
      <c r="E82" s="5"/>
      <c r="F82" s="14"/>
      <c r="G82" s="194"/>
      <c r="H82" s="911">
        <f>'Combining FST'!Q40</f>
        <v>0</v>
      </c>
      <c r="I82" s="911">
        <f>'Elimination Entries to FST'!J82</f>
        <v>0</v>
      </c>
      <c r="J82" s="209">
        <f t="shared" si="8"/>
        <v>0</v>
      </c>
      <c r="K82" s="12"/>
      <c r="L82" s="916"/>
      <c r="M82" s="917"/>
      <c r="N82" s="932"/>
      <c r="O82" s="13"/>
      <c r="P82" s="12" t="e">
        <f>HLOOKUP($K$23,'Foundation-PY FST $'!$A$1:$AB$230,56,FALSE)</f>
        <v>#N/A</v>
      </c>
      <c r="Q82" s="12" t="e">
        <f>H82-P82</f>
        <v>#N/A</v>
      </c>
      <c r="R82" s="912" t="e">
        <f>IF(Q82=0,0,IF((AND(P82=0,H82&gt;0)),1,IF((AND(P82=0,H82&lt;0)),-1,Q82/ABS(P82))))</f>
        <v>#N/A</v>
      </c>
      <c r="S82" s="915" t="e">
        <f>IF(OR((ABS(Q82)&gt;19800000),AND(ABS(Q82)&gt;9900000,ABS(R82)&gt;0.1)),"yes","-")</f>
        <v>#N/A</v>
      </c>
      <c r="T82" s="13"/>
      <c r="U82" s="13"/>
      <c r="V82" s="13"/>
      <c r="W82" s="13"/>
      <c r="X82" s="13"/>
      <c r="Y82" s="13"/>
      <c r="Z82" s="13"/>
      <c r="AA82" s="13"/>
      <c r="AB82" s="13"/>
      <c r="AC82" s="13"/>
      <c r="AD82" s="13"/>
      <c r="AE82" s="13"/>
      <c r="AF82" s="13"/>
      <c r="AG82" s="13"/>
      <c r="AH82" s="13"/>
      <c r="AI82" s="13"/>
      <c r="AJ82" s="13"/>
      <c r="AK82" s="13"/>
      <c r="AL82" s="13"/>
      <c r="AM82" s="13"/>
      <c r="AN82" s="13"/>
    </row>
    <row r="83" spans="1:40" s="10" customFormat="1" x14ac:dyDescent="0.2">
      <c r="C83" s="18" t="s">
        <v>622</v>
      </c>
      <c r="E83" s="896" t="s">
        <v>994</v>
      </c>
      <c r="F83" s="14"/>
      <c r="G83" s="15">
        <f>SUM(G75:G82)</f>
        <v>0</v>
      </c>
      <c r="H83" s="15">
        <f t="shared" ref="H83:L83" si="11">SUM(H75:H82)</f>
        <v>0</v>
      </c>
      <c r="I83" s="15">
        <f t="shared" si="11"/>
        <v>0</v>
      </c>
      <c r="J83" s="15">
        <f t="shared" si="11"/>
        <v>0</v>
      </c>
      <c r="K83" s="15" t="e">
        <f t="shared" si="11"/>
        <v>#N/A</v>
      </c>
      <c r="L83" s="920" t="e">
        <f t="shared" si="11"/>
        <v>#N/A</v>
      </c>
      <c r="M83" s="919" t="e">
        <f>IF(L83=0,0,IF((AND(K83=0,G83&gt;0)),1,IF((AND(K83=0,G83&lt;0)),-1,L83/ABS(K83))))</f>
        <v>#N/A</v>
      </c>
      <c r="N83" s="915" t="e">
        <f>IF(OR((ABS(L83)&gt;19800000),AND(ABS(L83)&gt;9900000,ABS(M83)&gt;0.1)),"yes","-")</f>
        <v>#N/A</v>
      </c>
      <c r="O83" s="13"/>
      <c r="P83" s="15" t="e">
        <f>SUM(P75:P82)</f>
        <v>#N/A</v>
      </c>
      <c r="Q83" s="15" t="e">
        <f>SUM(Q75:Q82)</f>
        <v>#N/A</v>
      </c>
      <c r="R83" s="921" t="e">
        <f>IF(Q83=0,0,IF((AND(P83=0,H83&gt;0)),1,IF((AND(P83=0,H83&lt;0)),-1,Q83/ABS(P83))))</f>
        <v>#N/A</v>
      </c>
      <c r="S83" s="913"/>
      <c r="T83" s="13"/>
      <c r="U83" s="13"/>
      <c r="V83" s="13"/>
      <c r="W83" s="13"/>
      <c r="X83" s="13"/>
      <c r="Y83" s="13"/>
      <c r="Z83" s="13"/>
      <c r="AA83" s="13"/>
      <c r="AB83" s="13"/>
      <c r="AC83" s="13"/>
      <c r="AD83" s="13"/>
      <c r="AE83" s="13"/>
      <c r="AF83" s="13"/>
      <c r="AG83" s="13"/>
      <c r="AH83" s="13"/>
      <c r="AI83" s="13"/>
      <c r="AJ83" s="13"/>
      <c r="AK83" s="13"/>
      <c r="AL83" s="13"/>
      <c r="AM83" s="13"/>
      <c r="AN83" s="13"/>
    </row>
    <row r="84" spans="1:40" s="10" customFormat="1" x14ac:dyDescent="0.2">
      <c r="E84" s="11"/>
      <c r="F84" s="11"/>
      <c r="G84" s="12"/>
      <c r="H84" s="12"/>
      <c r="I84" s="12"/>
      <c r="J84" s="12"/>
      <c r="K84" s="12"/>
      <c r="L84" s="12"/>
      <c r="M84" s="923"/>
      <c r="N84" s="924"/>
      <c r="O84" s="13"/>
      <c r="P84" s="12"/>
      <c r="Q84" s="12"/>
      <c r="R84" s="923"/>
      <c r="S84" s="924"/>
      <c r="T84" s="13"/>
      <c r="U84" s="13"/>
      <c r="V84" s="13"/>
      <c r="W84" s="13"/>
      <c r="X84" s="13"/>
      <c r="Y84" s="13"/>
      <c r="Z84" s="13"/>
      <c r="AA84" s="13"/>
      <c r="AB84" s="13"/>
      <c r="AC84" s="13"/>
      <c r="AD84" s="13"/>
      <c r="AE84" s="13"/>
      <c r="AF84" s="13"/>
      <c r="AG84" s="13"/>
      <c r="AH84" s="13"/>
      <c r="AI84" s="13"/>
      <c r="AJ84" s="13"/>
      <c r="AK84" s="13"/>
      <c r="AL84" s="13"/>
      <c r="AM84" s="13"/>
      <c r="AN84" s="13"/>
    </row>
    <row r="86" spans="1:40" s="10" customFormat="1" x14ac:dyDescent="0.2">
      <c r="A86" s="10" t="s">
        <v>405</v>
      </c>
      <c r="E86" s="11" t="s">
        <v>66</v>
      </c>
      <c r="F86" s="14"/>
      <c r="G86" s="29"/>
      <c r="H86" s="194"/>
      <c r="I86" s="911">
        <f>'Elimination Entries to FST'!J86</f>
        <v>0</v>
      </c>
      <c r="J86" s="209">
        <f>SUM(G86:I86)</f>
        <v>0</v>
      </c>
      <c r="K86" s="12" t="e">
        <f>HLOOKUP($K$23,'HEI-PY FST $'!$A$1:$AB$257,59,FALSE)</f>
        <v>#N/A</v>
      </c>
      <c r="L86" s="12" t="e">
        <f>G86-K86</f>
        <v>#N/A</v>
      </c>
      <c r="M86" s="912" t="e">
        <f>IF(L86=0,0,IF((AND(K86=0,G86&gt;0)),1,IF((AND(K86=0,G86&lt;0)),-1,L86/ABS(K86))))</f>
        <v>#N/A</v>
      </c>
      <c r="N86" s="913"/>
      <c r="O86" s="13"/>
      <c r="P86" s="12"/>
      <c r="Q86" s="209"/>
      <c r="R86" s="914"/>
      <c r="S86" s="913"/>
      <c r="T86" s="13"/>
      <c r="U86" s="13"/>
      <c r="V86" s="13"/>
      <c r="W86" s="13"/>
      <c r="X86" s="13"/>
      <c r="Y86" s="13"/>
      <c r="Z86" s="13"/>
      <c r="AA86" s="13"/>
      <c r="AB86" s="13"/>
      <c r="AC86" s="13"/>
      <c r="AD86" s="13"/>
      <c r="AE86" s="13"/>
      <c r="AF86" s="13"/>
      <c r="AG86" s="13"/>
      <c r="AH86" s="13"/>
      <c r="AI86" s="13"/>
      <c r="AJ86" s="13"/>
      <c r="AK86" s="13"/>
      <c r="AL86" s="13"/>
      <c r="AM86" s="13"/>
      <c r="AN86" s="13"/>
    </row>
    <row r="87" spans="1:40" s="10" customFormat="1" ht="23.25" customHeight="1" x14ac:dyDescent="0.2">
      <c r="A87" s="1164" t="s">
        <v>739</v>
      </c>
      <c r="B87" s="1164"/>
      <c r="C87" s="1164"/>
      <c r="D87" s="1164"/>
      <c r="E87" s="11" t="s">
        <v>494</v>
      </c>
      <c r="F87" s="14"/>
      <c r="G87" s="29"/>
      <c r="H87" s="194"/>
      <c r="I87" s="911">
        <f>'Elimination Entries to FST'!J87</f>
        <v>0</v>
      </c>
      <c r="J87" s="209">
        <f>SUM(G87:I87)</f>
        <v>0</v>
      </c>
      <c r="K87" s="12" t="e">
        <f>HLOOKUP($K$23,'HEI-PY FST $'!$A$1:$AB$257,61,FALSE)</f>
        <v>#N/A</v>
      </c>
      <c r="L87" s="12" t="e">
        <f>G87-K87</f>
        <v>#N/A</v>
      </c>
      <c r="M87" s="912" t="e">
        <f>IF(L87=0,0,IF((AND(K87=0,G87&gt;0)),1,IF((AND(K87=0,G87&lt;0)),-1,L87/ABS(K87))))</f>
        <v>#N/A</v>
      </c>
      <c r="N87" s="913"/>
      <c r="O87" s="13"/>
      <c r="P87" s="12"/>
      <c r="Q87" s="209"/>
      <c r="R87" s="914"/>
      <c r="S87" s="913"/>
      <c r="T87" s="13"/>
      <c r="U87" s="13"/>
      <c r="V87" s="13"/>
      <c r="W87" s="13"/>
      <c r="X87" s="13"/>
      <c r="Y87" s="13"/>
      <c r="Z87" s="13"/>
      <c r="AA87" s="13"/>
      <c r="AB87" s="13"/>
      <c r="AC87" s="13"/>
      <c r="AD87" s="13"/>
      <c r="AE87" s="13"/>
      <c r="AF87" s="13"/>
      <c r="AG87" s="13"/>
      <c r="AH87" s="13"/>
      <c r="AI87" s="13"/>
      <c r="AJ87" s="13"/>
      <c r="AK87" s="13"/>
      <c r="AL87" s="13"/>
      <c r="AM87" s="13"/>
      <c r="AN87" s="13"/>
    </row>
    <row r="88" spans="1:40" s="10" customFormat="1" ht="24" customHeight="1" x14ac:dyDescent="0.2">
      <c r="A88" s="1164" t="s">
        <v>129</v>
      </c>
      <c r="B88" s="1164"/>
      <c r="C88" s="1164"/>
      <c r="D88" s="1164"/>
      <c r="E88" s="11" t="s">
        <v>261</v>
      </c>
      <c r="F88" s="14"/>
      <c r="G88" s="29"/>
      <c r="H88" s="194"/>
      <c r="I88" s="911">
        <f>'Elimination Entries to FST'!J88</f>
        <v>0</v>
      </c>
      <c r="J88" s="209">
        <f>SUM(G88:I88)</f>
        <v>0</v>
      </c>
      <c r="K88" s="12" t="e">
        <f>HLOOKUP($K$23,'HEI-PY FST $'!$A$1:$AB$257,62,FALSE)</f>
        <v>#N/A</v>
      </c>
      <c r="L88" s="12" t="e">
        <f>G88-K88</f>
        <v>#N/A</v>
      </c>
      <c r="M88" s="912" t="e">
        <f>IF(L88=0,0,IF((AND(K88=0,G88&gt;0)),1,IF((AND(K88=0,G88&lt;0)),-1,L88/ABS(K88))))</f>
        <v>#N/A</v>
      </c>
      <c r="N88" s="913"/>
      <c r="O88" s="13"/>
      <c r="P88" s="12"/>
      <c r="Q88" s="209"/>
      <c r="R88" s="914"/>
      <c r="S88" s="913"/>
      <c r="T88" s="13"/>
      <c r="U88" s="13"/>
      <c r="V88" s="13"/>
      <c r="W88" s="13"/>
      <c r="X88" s="13"/>
      <c r="Y88" s="13"/>
      <c r="Z88" s="13"/>
      <c r="AA88" s="13"/>
      <c r="AB88" s="13"/>
      <c r="AC88" s="13"/>
      <c r="AD88" s="13"/>
      <c r="AE88" s="13"/>
      <c r="AF88" s="13"/>
      <c r="AG88" s="13"/>
      <c r="AH88" s="13"/>
      <c r="AI88" s="13"/>
      <c r="AJ88" s="13"/>
      <c r="AK88" s="13"/>
      <c r="AL88" s="13"/>
      <c r="AM88" s="13"/>
      <c r="AN88" s="13"/>
    </row>
    <row r="89" spans="1:40" s="10" customFormat="1" x14ac:dyDescent="0.2">
      <c r="A89" s="10" t="s">
        <v>496</v>
      </c>
      <c r="E89" s="11"/>
      <c r="F89" s="14"/>
      <c r="G89" s="194"/>
      <c r="H89" s="911">
        <f>'Combining FST'!Q41</f>
        <v>0</v>
      </c>
      <c r="I89" s="911">
        <f>'Elimination Entries to FST'!J89</f>
        <v>0</v>
      </c>
      <c r="J89" s="209">
        <f>SUM(G89:I89)</f>
        <v>0</v>
      </c>
      <c r="K89" s="12"/>
      <c r="L89" s="16"/>
      <c r="M89" s="925"/>
      <c r="N89" s="913"/>
      <c r="O89" s="13"/>
      <c r="P89" s="12" t="e">
        <f>HLOOKUP($K$23,'Foundation-PY FST $'!$A$1:$AB$230,63,FALSE)</f>
        <v>#N/A</v>
      </c>
      <c r="Q89" s="12" t="e">
        <f>H89-P89</f>
        <v>#N/A</v>
      </c>
      <c r="R89" s="912" t="e">
        <f>IF(Q89=0,0,IF((AND(P89=0,H89&gt;0)),1,IF((AND(P89=0,H89&lt;0)),-1,Q89/ABS(P89))))</f>
        <v>#N/A</v>
      </c>
      <c r="S89" s="915" t="e">
        <f>IF(OR((ABS(Q89)&gt;19800000),AND(ABS(Q89)&gt;9900000,ABS(R89)&gt;0.1)),"yes","-")</f>
        <v>#N/A</v>
      </c>
      <c r="T89" s="13"/>
      <c r="U89" s="13"/>
      <c r="V89" s="13"/>
      <c r="W89" s="13"/>
      <c r="X89" s="13"/>
      <c r="Y89" s="13"/>
      <c r="Z89" s="13"/>
      <c r="AA89" s="13"/>
      <c r="AB89" s="13"/>
      <c r="AC89" s="13"/>
      <c r="AD89" s="13"/>
      <c r="AE89" s="13"/>
      <c r="AF89" s="13"/>
      <c r="AG89" s="13"/>
      <c r="AH89" s="13"/>
      <c r="AI89" s="13"/>
      <c r="AJ89" s="13"/>
      <c r="AK89" s="13"/>
      <c r="AL89" s="13"/>
      <c r="AM89" s="13"/>
      <c r="AN89" s="13"/>
    </row>
    <row r="90" spans="1:40" s="10" customFormat="1" x14ac:dyDescent="0.2">
      <c r="C90" s="18" t="s">
        <v>623</v>
      </c>
      <c r="E90" s="895" t="s">
        <v>994</v>
      </c>
      <c r="F90" s="19"/>
      <c r="G90" s="15">
        <f>SUM(G86:G89)</f>
        <v>0</v>
      </c>
      <c r="H90" s="15">
        <f t="shared" ref="H90:I90" si="12">SUM(H86:H89)</f>
        <v>0</v>
      </c>
      <c r="I90" s="15">
        <f t="shared" si="12"/>
        <v>0</v>
      </c>
      <c r="J90" s="15">
        <f>SUM(J86:J89)</f>
        <v>0</v>
      </c>
      <c r="K90" s="15" t="e">
        <f>SUM(K86:K89)</f>
        <v>#N/A</v>
      </c>
      <c r="L90" s="15" t="e">
        <f>SUM(L86:L89)</f>
        <v>#N/A</v>
      </c>
      <c r="M90" s="919" t="e">
        <f>IF(L90=0,0,IF((AND(K90=0,G90&gt;0)),1,IF((AND(K90=0,G90&lt;0)),-1,L90/ABS(K90))))</f>
        <v>#N/A</v>
      </c>
      <c r="N90" s="915" t="e">
        <f>IF(OR((ABS(L90)&gt;19800000),AND(ABS(L90)&gt;9900000,ABS(M90)&gt;0.1)),"yes","-")</f>
        <v>#N/A</v>
      </c>
      <c r="O90" s="13"/>
      <c r="P90" s="15" t="e">
        <f>SUM(P86:P89)</f>
        <v>#N/A</v>
      </c>
      <c r="Q90" s="15" t="e">
        <f>SUM(Q86:Q89)</f>
        <v>#N/A</v>
      </c>
      <c r="R90" s="921" t="e">
        <f>IF(Q90=0,0,IF((AND(P90=0,H90&gt;0)),1,IF((AND(P90=0,H90&lt;0)),-1,Q90/ABS(P90))))</f>
        <v>#N/A</v>
      </c>
      <c r="S90" s="913"/>
      <c r="T90" s="13"/>
      <c r="U90" s="13"/>
      <c r="V90" s="13"/>
      <c r="W90" s="13"/>
      <c r="X90" s="13"/>
      <c r="Y90" s="13"/>
      <c r="Z90" s="13"/>
      <c r="AA90" s="13"/>
      <c r="AB90" s="13"/>
      <c r="AC90" s="13"/>
      <c r="AD90" s="13"/>
      <c r="AE90" s="13"/>
      <c r="AF90" s="13"/>
      <c r="AG90" s="13"/>
      <c r="AH90" s="13"/>
      <c r="AI90" s="13"/>
      <c r="AJ90" s="13"/>
      <c r="AK90" s="13"/>
      <c r="AL90" s="13"/>
      <c r="AM90" s="13"/>
      <c r="AN90" s="13"/>
    </row>
    <row r="91" spans="1:40" s="10" customFormat="1" x14ac:dyDescent="0.2">
      <c r="A91" s="1135" t="s">
        <v>1718</v>
      </c>
      <c r="C91" s="18"/>
      <c r="D91" s="18"/>
      <c r="E91" s="2" t="s">
        <v>1832</v>
      </c>
      <c r="F91" s="11"/>
      <c r="G91" s="29"/>
      <c r="H91" s="911">
        <f>'Combining FST'!Q42</f>
        <v>0</v>
      </c>
      <c r="I91" s="911">
        <f>'Elimination Entries to FST'!J92</f>
        <v>0</v>
      </c>
      <c r="J91" s="209">
        <f>SUM(G91:I91)</f>
        <v>0</v>
      </c>
      <c r="K91" s="12" t="e">
        <f>HLOOKUP($K$23,'HEI-PY FST $'!$A$1:$AB$257,65,FALSE)</f>
        <v>#N/A</v>
      </c>
      <c r="L91" s="12" t="e">
        <f>G91-K91</f>
        <v>#N/A</v>
      </c>
      <c r="M91" s="912" t="e">
        <f>IF(L91=0,0,IF((AND(K91=0,G91&gt;0)),1,IF((AND(K91=0,G91&lt;0)),-1,L91/ABS(K91))))</f>
        <v>#N/A</v>
      </c>
      <c r="N91" s="915" t="e">
        <f>IF(OR((ABS(L91)&gt;19800000),AND(ABS(L91)&gt;9900000,ABS(M91)&gt;0.1)),"yes","-")</f>
        <v>#N/A</v>
      </c>
      <c r="O91" s="13"/>
      <c r="P91" s="12" t="e">
        <f>HLOOKUP($K$23,'Foundation-PY FST $'!$A$1:$AB$230,65,FALSE)</f>
        <v>#N/A</v>
      </c>
      <c r="Q91" s="12" t="e">
        <f>H91-P91</f>
        <v>#N/A</v>
      </c>
      <c r="R91" s="912" t="e">
        <f>IF(Q91=0,0,IF((AND(P91=0,H91&gt;0)),1,IF((AND(P91=0,H91&lt;0)),-1,Q91/ABS(P91))))</f>
        <v>#N/A</v>
      </c>
      <c r="S91" s="915" t="e">
        <f>IF(OR((ABS(Q91)&gt;19800000),AND(ABS(Q91)&gt;9900000,ABS(R91)&gt;0.1)),"yes","-")</f>
        <v>#N/A</v>
      </c>
      <c r="T91" s="13"/>
      <c r="U91" s="933"/>
      <c r="V91" s="933"/>
      <c r="W91" s="933"/>
      <c r="X91" s="13"/>
      <c r="Y91" s="13"/>
      <c r="Z91" s="13"/>
      <c r="AA91" s="13"/>
      <c r="AB91" s="13"/>
      <c r="AC91" s="13"/>
      <c r="AD91" s="13"/>
      <c r="AE91" s="13"/>
      <c r="AF91" s="13"/>
      <c r="AG91" s="13"/>
      <c r="AH91" s="13"/>
      <c r="AI91" s="13"/>
      <c r="AJ91" s="13"/>
      <c r="AK91" s="13"/>
      <c r="AL91" s="13"/>
      <c r="AM91" s="13"/>
      <c r="AN91" s="13"/>
    </row>
    <row r="92" spans="1:40" s="10" customFormat="1" x14ac:dyDescent="0.2">
      <c r="A92" s="18" t="s">
        <v>190</v>
      </c>
      <c r="E92" s="2" t="s">
        <v>1030</v>
      </c>
      <c r="F92" s="14"/>
      <c r="G92" s="29"/>
      <c r="H92" s="911">
        <f>'Combining FST'!Q43</f>
        <v>0</v>
      </c>
      <c r="I92" s="911">
        <f>'Elimination Entries to FST'!J93</f>
        <v>0</v>
      </c>
      <c r="J92" s="209">
        <f>SUM(G92:I92)</f>
        <v>0</v>
      </c>
      <c r="K92" s="12" t="e">
        <f>HLOOKUP($K$23,'HEI-PY FST $'!$A$1:$AB$257,66,FALSE)</f>
        <v>#N/A</v>
      </c>
      <c r="L92" s="12" t="e">
        <f>G92-K92</f>
        <v>#N/A</v>
      </c>
      <c r="M92" s="912" t="e">
        <f>IF(L92=0,0,IF((AND(K92=0,G92&gt;0)),1,IF((AND(K92=0,G92&lt;0)),-1,L92/ABS(K92))))</f>
        <v>#N/A</v>
      </c>
      <c r="N92" s="915" t="e">
        <f>IF(OR((ABS(L92)&gt;19800000),AND(ABS(L92)&gt;9900000,ABS(M92)&gt;0.1)),"yes","-")</f>
        <v>#N/A</v>
      </c>
      <c r="O92" s="13"/>
      <c r="P92" s="12" t="e">
        <f>HLOOKUP($K$23,'Foundation-PY FST $'!$A$1:$AB$230,66,FALSE)</f>
        <v>#N/A</v>
      </c>
      <c r="Q92" s="12" t="e">
        <f>H92-P92</f>
        <v>#N/A</v>
      </c>
      <c r="R92" s="912" t="e">
        <f>IF(Q92=0,0,IF((AND(P92=0,H92&gt;0)),1,IF((AND(P92=0,H92&lt;0)),-1,Q92/ABS(P92))))</f>
        <v>#N/A</v>
      </c>
      <c r="S92" s="915" t="e">
        <f>IF(OR((ABS(Q92)&gt;19800000),AND(ABS(Q92)&gt;9900000,ABS(R92)&gt;0.1)),"yes","-")</f>
        <v>#N/A</v>
      </c>
      <c r="T92" s="13"/>
      <c r="U92" s="13"/>
      <c r="V92" s="13"/>
      <c r="W92" s="13"/>
      <c r="X92" s="13"/>
      <c r="Y92" s="13"/>
      <c r="Z92" s="13"/>
      <c r="AA92" s="13"/>
      <c r="AB92" s="13"/>
      <c r="AC92" s="13"/>
      <c r="AD92" s="13"/>
      <c r="AE92" s="13"/>
      <c r="AF92" s="13"/>
      <c r="AG92" s="13"/>
      <c r="AH92" s="13"/>
      <c r="AI92" s="13"/>
      <c r="AJ92" s="13"/>
      <c r="AK92" s="13"/>
      <c r="AL92" s="13"/>
      <c r="AM92" s="13"/>
      <c r="AN92" s="13"/>
    </row>
    <row r="93" spans="1:40" s="10" customFormat="1" x14ac:dyDescent="0.2">
      <c r="E93" s="11"/>
      <c r="F93" s="11"/>
      <c r="G93" s="12"/>
      <c r="H93" s="12"/>
      <c r="I93" s="12"/>
      <c r="J93" s="12"/>
      <c r="K93" s="12"/>
      <c r="L93" s="12"/>
      <c r="M93" s="923"/>
      <c r="N93" s="924"/>
      <c r="O93" s="13"/>
      <c r="P93" s="12"/>
      <c r="Q93" s="12"/>
      <c r="R93" s="923"/>
      <c r="S93" s="924"/>
      <c r="T93" s="13"/>
      <c r="U93" s="13"/>
      <c r="V93" s="13"/>
      <c r="W93" s="13"/>
      <c r="X93" s="13"/>
      <c r="Y93" s="13"/>
      <c r="Z93" s="13"/>
      <c r="AA93" s="13"/>
      <c r="AB93" s="13"/>
      <c r="AC93" s="13"/>
      <c r="AD93" s="13"/>
      <c r="AE93" s="13"/>
      <c r="AF93" s="13"/>
      <c r="AG93" s="13"/>
      <c r="AH93" s="13"/>
      <c r="AI93" s="13"/>
      <c r="AJ93" s="13"/>
      <c r="AK93" s="13"/>
      <c r="AL93" s="13"/>
      <c r="AM93" s="13"/>
      <c r="AN93" s="13"/>
    </row>
    <row r="94" spans="1:40" s="10" customFormat="1" hidden="1" x14ac:dyDescent="0.2">
      <c r="E94" s="11"/>
      <c r="F94" s="11"/>
      <c r="G94" s="11"/>
      <c r="H94" s="11"/>
      <c r="I94" s="11"/>
      <c r="J94" s="11"/>
      <c r="K94" s="11"/>
      <c r="L94" s="11"/>
      <c r="M94" s="11"/>
      <c r="N94" s="11"/>
      <c r="O94" s="11"/>
      <c r="P94" s="11"/>
      <c r="Q94" s="11"/>
      <c r="R94" s="11"/>
      <c r="S94" s="11"/>
      <c r="T94" s="13"/>
      <c r="U94" s="13"/>
      <c r="V94" s="13"/>
      <c r="W94" s="13"/>
      <c r="X94" s="13"/>
      <c r="Y94" s="13"/>
      <c r="Z94" s="13"/>
      <c r="AA94" s="13"/>
      <c r="AB94" s="13"/>
      <c r="AC94" s="13"/>
      <c r="AD94" s="13"/>
      <c r="AE94" s="13"/>
      <c r="AF94" s="13"/>
      <c r="AG94" s="13"/>
      <c r="AH94" s="13"/>
      <c r="AI94" s="13"/>
      <c r="AJ94" s="13"/>
      <c r="AK94" s="13"/>
      <c r="AL94" s="13"/>
      <c r="AM94" s="13"/>
      <c r="AN94" s="13"/>
    </row>
    <row r="95" spans="1:40" s="10" customFormat="1" hidden="1" x14ac:dyDescent="0.2">
      <c r="E95" s="11"/>
      <c r="F95" s="11"/>
      <c r="G95" s="11"/>
      <c r="H95" s="11"/>
      <c r="I95" s="11"/>
      <c r="J95" s="11"/>
      <c r="K95" s="11"/>
      <c r="L95" s="11"/>
      <c r="M95" s="11"/>
      <c r="N95" s="11"/>
      <c r="O95" s="11"/>
      <c r="P95" s="11"/>
      <c r="Q95" s="11"/>
      <c r="R95" s="11"/>
      <c r="S95" s="11"/>
      <c r="T95" s="13"/>
      <c r="U95" s="933"/>
      <c r="V95" s="933"/>
      <c r="W95" s="933"/>
      <c r="X95" s="13"/>
      <c r="Y95" s="13"/>
      <c r="Z95" s="13"/>
      <c r="AA95" s="13"/>
      <c r="AB95" s="13"/>
      <c r="AC95" s="13"/>
      <c r="AD95" s="13"/>
      <c r="AE95" s="13"/>
      <c r="AF95" s="13"/>
      <c r="AG95" s="13"/>
      <c r="AH95" s="13"/>
      <c r="AI95" s="13"/>
      <c r="AJ95" s="13"/>
      <c r="AK95" s="13"/>
      <c r="AL95" s="13"/>
      <c r="AM95" s="13"/>
      <c r="AN95" s="13"/>
    </row>
    <row r="96" spans="1:40" s="10" customFormat="1" hidden="1" x14ac:dyDescent="0.2">
      <c r="E96" s="11"/>
      <c r="F96" s="11"/>
      <c r="G96" s="11"/>
      <c r="H96" s="11"/>
      <c r="I96" s="11"/>
      <c r="J96" s="11"/>
      <c r="K96" s="11"/>
      <c r="L96" s="11"/>
      <c r="M96" s="11"/>
      <c r="N96" s="11"/>
      <c r="O96" s="11"/>
      <c r="P96" s="11"/>
      <c r="Q96" s="11"/>
      <c r="R96" s="11"/>
      <c r="S96" s="11"/>
      <c r="T96" s="13"/>
      <c r="U96" s="933"/>
      <c r="V96" s="933"/>
      <c r="W96" s="933"/>
      <c r="X96" s="13"/>
      <c r="Y96" s="13"/>
      <c r="Z96" s="13"/>
      <c r="AA96" s="13"/>
      <c r="AB96" s="13"/>
      <c r="AC96" s="13"/>
      <c r="AD96" s="13"/>
      <c r="AE96" s="13"/>
      <c r="AF96" s="13"/>
      <c r="AG96" s="13"/>
      <c r="AH96" s="13"/>
      <c r="AI96" s="13"/>
      <c r="AJ96" s="13"/>
      <c r="AK96" s="13"/>
      <c r="AL96" s="13"/>
      <c r="AM96" s="13"/>
      <c r="AN96" s="13"/>
    </row>
    <row r="97" spans="1:40" s="10" customFormat="1" ht="24" hidden="1" customHeight="1" x14ac:dyDescent="0.2">
      <c r="B97" s="1164"/>
      <c r="C97" s="1164"/>
      <c r="D97" s="1164"/>
      <c r="E97" s="11"/>
      <c r="F97" s="11"/>
      <c r="G97" s="11"/>
      <c r="H97" s="11"/>
      <c r="I97" s="11"/>
      <c r="J97" s="11"/>
      <c r="K97" s="11"/>
      <c r="L97" s="11"/>
      <c r="M97" s="11"/>
      <c r="N97" s="11"/>
      <c r="O97" s="11"/>
      <c r="P97" s="11"/>
      <c r="Q97" s="11"/>
      <c r="R97" s="11"/>
      <c r="S97" s="11"/>
      <c r="T97" s="13"/>
      <c r="U97" s="1161"/>
      <c r="V97" s="1162"/>
      <c r="W97" s="1162"/>
      <c r="X97" s="13"/>
      <c r="Y97" s="13"/>
      <c r="Z97" s="13"/>
      <c r="AA97" s="13"/>
      <c r="AB97" s="13"/>
      <c r="AC97" s="13"/>
      <c r="AD97" s="13"/>
      <c r="AE97" s="13"/>
      <c r="AF97" s="13"/>
      <c r="AG97" s="13"/>
      <c r="AH97" s="13"/>
      <c r="AI97" s="13"/>
      <c r="AJ97" s="13"/>
      <c r="AK97" s="13"/>
      <c r="AL97" s="13"/>
      <c r="AM97" s="13"/>
      <c r="AN97" s="13"/>
    </row>
    <row r="98" spans="1:40" s="10" customFormat="1" hidden="1" x14ac:dyDescent="0.2">
      <c r="E98" s="11"/>
      <c r="F98" s="11"/>
      <c r="G98" s="11"/>
      <c r="H98" s="11"/>
      <c r="I98" s="11"/>
      <c r="J98" s="11"/>
      <c r="K98" s="11"/>
      <c r="L98" s="11"/>
      <c r="M98" s="11"/>
      <c r="N98" s="11"/>
      <c r="O98" s="11"/>
      <c r="P98" s="11"/>
      <c r="Q98" s="11"/>
      <c r="R98" s="11"/>
      <c r="S98" s="11"/>
      <c r="T98" s="13"/>
      <c r="U98" s="933"/>
      <c r="V98" s="933"/>
      <c r="W98" s="933"/>
      <c r="X98" s="13"/>
      <c r="Y98" s="13"/>
      <c r="Z98" s="13"/>
      <c r="AA98" s="13"/>
      <c r="AB98" s="13"/>
      <c r="AC98" s="13"/>
      <c r="AD98" s="13"/>
      <c r="AE98" s="13"/>
      <c r="AF98" s="13"/>
      <c r="AG98" s="13"/>
      <c r="AH98" s="13"/>
      <c r="AI98" s="13"/>
      <c r="AJ98" s="13"/>
      <c r="AK98" s="13"/>
      <c r="AL98" s="13"/>
      <c r="AM98" s="13"/>
      <c r="AN98" s="13"/>
    </row>
    <row r="99" spans="1:40" s="10" customFormat="1" hidden="1" x14ac:dyDescent="0.2">
      <c r="B99" s="211"/>
      <c r="E99" s="11"/>
      <c r="F99" s="11"/>
      <c r="G99" s="11"/>
      <c r="H99" s="11"/>
      <c r="I99" s="11"/>
      <c r="J99" s="11"/>
      <c r="K99" s="11"/>
      <c r="L99" s="11"/>
      <c r="M99" s="11"/>
      <c r="N99" s="11"/>
      <c r="O99" s="11"/>
      <c r="P99" s="11"/>
      <c r="Q99" s="11"/>
      <c r="R99" s="11"/>
      <c r="S99" s="11"/>
      <c r="T99" s="13"/>
      <c r="U99" s="933"/>
      <c r="V99" s="933"/>
      <c r="W99" s="933"/>
      <c r="X99" s="13"/>
      <c r="Y99" s="13"/>
      <c r="Z99" s="13"/>
      <c r="AA99" s="13"/>
      <c r="AB99" s="13"/>
      <c r="AC99" s="13"/>
      <c r="AD99" s="13"/>
      <c r="AE99" s="13"/>
      <c r="AF99" s="13"/>
      <c r="AG99" s="13"/>
      <c r="AH99" s="13"/>
      <c r="AI99" s="13"/>
      <c r="AJ99" s="13"/>
      <c r="AK99" s="13"/>
      <c r="AL99" s="13"/>
      <c r="AM99" s="13"/>
      <c r="AN99" s="13"/>
    </row>
    <row r="100" spans="1:40" s="10" customFormat="1" hidden="1" x14ac:dyDescent="0.2">
      <c r="E100" s="2"/>
      <c r="F100" s="2"/>
      <c r="G100" s="2"/>
      <c r="H100" s="2"/>
      <c r="I100" s="2"/>
      <c r="J100" s="2"/>
      <c r="K100" s="2"/>
      <c r="L100" s="2"/>
      <c r="M100" s="2"/>
      <c r="N100" s="2"/>
      <c r="O100" s="2"/>
      <c r="P100" s="2"/>
      <c r="Q100" s="2"/>
      <c r="R100" s="2"/>
      <c r="S100" s="2"/>
      <c r="T100" s="13"/>
      <c r="U100" s="933"/>
      <c r="V100" s="933"/>
      <c r="W100" s="933"/>
      <c r="X100" s="13"/>
      <c r="Y100" s="13"/>
      <c r="Z100" s="13"/>
      <c r="AA100" s="13"/>
      <c r="AB100" s="13"/>
      <c r="AC100" s="13"/>
      <c r="AD100" s="13"/>
      <c r="AE100" s="13"/>
      <c r="AF100" s="13"/>
      <c r="AG100" s="13"/>
      <c r="AH100" s="13"/>
      <c r="AI100" s="13"/>
      <c r="AJ100" s="13"/>
      <c r="AK100" s="13"/>
      <c r="AL100" s="13"/>
      <c r="AM100" s="13"/>
      <c r="AN100" s="13"/>
    </row>
    <row r="101" spans="1:40" s="10" customFormat="1" x14ac:dyDescent="0.2">
      <c r="A101" s="18" t="s">
        <v>1433</v>
      </c>
      <c r="C101" s="18"/>
      <c r="D101" s="18"/>
      <c r="E101" s="2" t="s">
        <v>1434</v>
      </c>
      <c r="F101" s="11"/>
      <c r="G101" s="29"/>
      <c r="H101" s="911">
        <f>'Combining FST'!Q50</f>
        <v>0</v>
      </c>
      <c r="I101" s="911">
        <f>'Elimination Entries to FST'!J102</f>
        <v>0</v>
      </c>
      <c r="J101" s="209">
        <f>SUM(G101:I101)</f>
        <v>0</v>
      </c>
      <c r="K101" s="12" t="e">
        <f>HLOOKUP($K$23,'HEI-PY FST $'!$A$1:$AB$257,75,FALSE)</f>
        <v>#N/A</v>
      </c>
      <c r="L101" s="12" t="e">
        <f>G101-K101</f>
        <v>#N/A</v>
      </c>
      <c r="M101" s="912" t="e">
        <f>IF(L101=0,0,IF((AND(K101=0,G101&gt;0)),1,IF((AND(K101=0,G101&lt;0)),-1,L101/ABS(K101))))</f>
        <v>#N/A</v>
      </c>
      <c r="N101" s="915" t="e">
        <f>IF(OR((ABS(L101)&gt;19800000),AND(ABS(L101)&gt;9900000,ABS(M101)&gt;0.1)),"yes","-")</f>
        <v>#N/A</v>
      </c>
      <c r="O101" s="13"/>
      <c r="P101" s="12" t="e">
        <f>HLOOKUP($K$23,'Foundation-PY FST $'!$A$1:$AB$230,73,FALSE)</f>
        <v>#N/A</v>
      </c>
      <c r="Q101" s="12" t="e">
        <f>H101-P101</f>
        <v>#N/A</v>
      </c>
      <c r="R101" s="912" t="e">
        <f>IF(Q101=0,0,IF((AND(P101=0,H101&gt;0)),1,IF((AND(P101=0,H101&lt;0)),-1,Q101/ABS(P101))))</f>
        <v>#N/A</v>
      </c>
      <c r="S101" s="915" t="e">
        <f>IF(OR((ABS(Q101)&gt;19800000),AND(ABS(Q101)&gt;9900000,ABS(R101)&gt;0.1)),"yes","-")</f>
        <v>#N/A</v>
      </c>
      <c r="T101" s="13"/>
      <c r="U101" s="933"/>
      <c r="V101" s="933"/>
      <c r="W101" s="933"/>
      <c r="X101" s="13"/>
      <c r="Y101" s="13"/>
      <c r="Z101" s="13"/>
      <c r="AA101" s="13"/>
      <c r="AB101" s="13"/>
      <c r="AC101" s="13"/>
      <c r="AD101" s="13"/>
      <c r="AE101" s="13"/>
      <c r="AF101" s="13"/>
      <c r="AG101" s="13"/>
      <c r="AH101" s="13"/>
      <c r="AI101" s="13"/>
      <c r="AJ101" s="13"/>
      <c r="AK101" s="13"/>
      <c r="AL101" s="13"/>
      <c r="AM101" s="13"/>
      <c r="AN101" s="13"/>
    </row>
    <row r="102" spans="1:40" s="10" customFormat="1" hidden="1" x14ac:dyDescent="0.2">
      <c r="E102" s="11"/>
      <c r="F102" s="11"/>
      <c r="G102" s="11"/>
      <c r="H102" s="11"/>
      <c r="I102" s="11"/>
      <c r="J102" s="11"/>
      <c r="K102" s="11"/>
      <c r="L102" s="11"/>
      <c r="M102" s="11"/>
      <c r="N102" s="11"/>
      <c r="O102" s="11"/>
      <c r="P102" s="11"/>
      <c r="Q102" s="11"/>
      <c r="R102" s="11"/>
      <c r="S102" s="11"/>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spans="1:40" s="10" customFormat="1" hidden="1" x14ac:dyDescent="0.2">
      <c r="E103" s="11"/>
      <c r="F103" s="11"/>
      <c r="G103" s="11"/>
      <c r="H103" s="11"/>
      <c r="I103" s="11"/>
      <c r="J103" s="11"/>
      <c r="K103" s="11"/>
      <c r="L103" s="11"/>
      <c r="M103" s="11"/>
      <c r="N103" s="11"/>
      <c r="O103" s="11"/>
      <c r="P103" s="11"/>
      <c r="Q103" s="11"/>
      <c r="R103" s="11"/>
      <c r="S103" s="11"/>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spans="1:40" s="10" customFormat="1" hidden="1" x14ac:dyDescent="0.2">
      <c r="E104" s="11"/>
      <c r="F104" s="11"/>
      <c r="G104" s="11"/>
      <c r="H104" s="11"/>
      <c r="I104" s="11"/>
      <c r="J104" s="11"/>
      <c r="K104" s="11"/>
      <c r="L104" s="11"/>
      <c r="M104" s="11"/>
      <c r="N104" s="11"/>
      <c r="O104" s="11"/>
      <c r="P104" s="11"/>
      <c r="Q104" s="11"/>
      <c r="R104" s="11"/>
      <c r="S104" s="11"/>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spans="1:40" s="10" customFormat="1" hidden="1" x14ac:dyDescent="0.2">
      <c r="E105" s="11"/>
      <c r="F105" s="11"/>
      <c r="G105" s="11"/>
      <c r="H105" s="11"/>
      <c r="I105" s="11"/>
      <c r="J105" s="11"/>
      <c r="K105" s="11"/>
      <c r="L105" s="11"/>
      <c r="M105" s="11"/>
      <c r="N105" s="11"/>
      <c r="O105" s="11"/>
      <c r="P105" s="11"/>
      <c r="Q105" s="11"/>
      <c r="R105" s="11"/>
      <c r="S105" s="11"/>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spans="1:40" s="10" customFormat="1" hidden="1" x14ac:dyDescent="0.2">
      <c r="E106" s="11"/>
      <c r="F106" s="11"/>
      <c r="G106" s="11"/>
      <c r="H106" s="11"/>
      <c r="I106" s="11"/>
      <c r="J106" s="11"/>
      <c r="K106" s="11"/>
      <c r="L106" s="11"/>
      <c r="M106" s="11"/>
      <c r="N106" s="11"/>
      <c r="O106" s="11"/>
      <c r="P106" s="11"/>
      <c r="Q106" s="11"/>
      <c r="R106" s="11"/>
      <c r="S106" s="11"/>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spans="1:40" s="10" customFormat="1" ht="24.75" hidden="1" customHeight="1" x14ac:dyDescent="0.2">
      <c r="B107" s="1164"/>
      <c r="C107" s="1164"/>
      <c r="D107" s="1164"/>
      <c r="E107" s="11"/>
      <c r="F107" s="11"/>
      <c r="G107" s="11"/>
      <c r="H107" s="11"/>
      <c r="I107" s="11"/>
      <c r="J107" s="11"/>
      <c r="K107" s="11"/>
      <c r="L107" s="11"/>
      <c r="M107" s="11"/>
      <c r="N107" s="11"/>
      <c r="O107" s="11"/>
      <c r="P107" s="11"/>
      <c r="Q107" s="11"/>
      <c r="R107" s="11"/>
      <c r="S107" s="11"/>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spans="1:40" s="10" customFormat="1" hidden="1" x14ac:dyDescent="0.2">
      <c r="E108" s="11"/>
      <c r="F108" s="11"/>
      <c r="G108" s="11"/>
      <c r="H108" s="11"/>
      <c r="I108" s="11"/>
      <c r="J108" s="11"/>
      <c r="K108" s="11"/>
      <c r="L108" s="11"/>
      <c r="M108" s="11"/>
      <c r="N108" s="11"/>
      <c r="O108" s="11"/>
      <c r="P108" s="11"/>
      <c r="Q108" s="11"/>
      <c r="R108" s="11"/>
      <c r="S108" s="11"/>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spans="1:40" s="10" customFormat="1" hidden="1" x14ac:dyDescent="0.2">
      <c r="B109" s="211"/>
      <c r="E109" s="11"/>
      <c r="F109" s="11"/>
      <c r="G109" s="11"/>
      <c r="H109" s="11"/>
      <c r="I109" s="11"/>
      <c r="J109" s="11"/>
      <c r="K109" s="11"/>
      <c r="L109" s="11"/>
      <c r="M109" s="11"/>
      <c r="N109" s="11"/>
      <c r="O109" s="11"/>
      <c r="P109" s="11"/>
      <c r="Q109" s="11"/>
      <c r="R109" s="11"/>
      <c r="S109" s="11"/>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spans="1:40" s="10" customFormat="1" hidden="1" x14ac:dyDescent="0.2">
      <c r="E110" s="2"/>
      <c r="F110" s="2"/>
      <c r="G110" s="2"/>
      <c r="H110" s="2"/>
      <c r="I110" s="2"/>
      <c r="J110" s="2"/>
      <c r="K110" s="2"/>
      <c r="L110" s="2"/>
      <c r="M110" s="2"/>
      <c r="N110" s="2"/>
      <c r="O110" s="2"/>
      <c r="P110" s="2"/>
      <c r="Q110" s="2"/>
      <c r="R110" s="2"/>
      <c r="S110" s="2"/>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spans="1:40" s="10" customFormat="1" hidden="1" x14ac:dyDescent="0.2">
      <c r="E111" s="2"/>
      <c r="F111" s="2"/>
      <c r="G111" s="2"/>
      <c r="H111" s="2"/>
      <c r="I111" s="2"/>
      <c r="J111" s="2"/>
      <c r="K111" s="2"/>
      <c r="L111" s="2"/>
      <c r="M111" s="2"/>
      <c r="N111" s="2"/>
      <c r="O111" s="2"/>
      <c r="P111" s="2"/>
      <c r="Q111" s="2"/>
      <c r="R111" s="2"/>
      <c r="S111" s="2"/>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spans="1:40" s="10" customFormat="1" hidden="1" x14ac:dyDescent="0.2">
      <c r="E112" s="2"/>
      <c r="F112" s="2"/>
      <c r="G112" s="2"/>
      <c r="H112" s="2"/>
      <c r="I112" s="2"/>
      <c r="J112" s="2"/>
      <c r="K112" s="2"/>
      <c r="L112" s="2"/>
      <c r="M112" s="2"/>
      <c r="N112" s="2"/>
      <c r="O112" s="2"/>
      <c r="P112" s="2"/>
      <c r="Q112" s="2"/>
      <c r="R112" s="2"/>
      <c r="S112" s="2"/>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spans="1:40" s="10" customFormat="1" hidden="1" x14ac:dyDescent="0.2">
      <c r="E113" s="5"/>
      <c r="F113" s="5"/>
      <c r="G113" s="5"/>
      <c r="H113" s="5"/>
      <c r="I113" s="5"/>
      <c r="J113" s="5"/>
      <c r="K113" s="5"/>
      <c r="L113" s="5"/>
      <c r="M113" s="5"/>
      <c r="N113" s="5"/>
      <c r="O113" s="5"/>
      <c r="P113" s="5"/>
      <c r="Q113" s="5"/>
      <c r="R113" s="5"/>
      <c r="S113" s="5"/>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spans="1:40" s="10" customFormat="1" hidden="1" x14ac:dyDescent="0.2">
      <c r="E114" s="2"/>
      <c r="F114" s="2"/>
      <c r="G114" s="2"/>
      <c r="H114" s="2"/>
      <c r="I114" s="2"/>
      <c r="J114" s="2"/>
      <c r="K114" s="2"/>
      <c r="L114" s="2"/>
      <c r="M114" s="2"/>
      <c r="N114" s="2"/>
      <c r="O114" s="2"/>
      <c r="P114" s="2"/>
      <c r="Q114" s="2"/>
      <c r="R114" s="2"/>
      <c r="S114" s="2"/>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spans="1:40" s="10" customFormat="1" x14ac:dyDescent="0.2">
      <c r="A115" s="18" t="s">
        <v>1435</v>
      </c>
      <c r="C115" s="18"/>
      <c r="D115" s="18"/>
      <c r="E115" s="2" t="s">
        <v>1434</v>
      </c>
      <c r="F115" s="11"/>
      <c r="G115" s="29"/>
      <c r="H115" s="911">
        <f>'Combining FST'!Q58</f>
        <v>0</v>
      </c>
      <c r="I115" s="911">
        <f>'Elimination Entries to FST'!J116</f>
        <v>0</v>
      </c>
      <c r="J115" s="209">
        <f>SUM(G115:I115)</f>
        <v>0</v>
      </c>
      <c r="K115" s="12" t="e">
        <f>HLOOKUP($K$23,'HEI-PY FST $'!$A$1:$AB$257,89,FALSE)</f>
        <v>#N/A</v>
      </c>
      <c r="L115" s="12" t="e">
        <f>G115-K115</f>
        <v>#N/A</v>
      </c>
      <c r="M115" s="912" t="e">
        <f>IF(L115=0,0,IF((AND(K115=0,G115&gt;0)),1,IF((AND(K115=0,G115&lt;0)),-1,L115/ABS(K115))))</f>
        <v>#N/A</v>
      </c>
      <c r="N115" s="915" t="e">
        <f>IF(OR((ABS(L115)&gt;19800000),AND(ABS(L115)&gt;9900000,ABS(M115)&gt;0.1)),"yes","-")</f>
        <v>#N/A</v>
      </c>
      <c r="O115" s="13"/>
      <c r="P115" s="12" t="e">
        <f>HLOOKUP($K$23,'Foundation-PY FST $'!$A$1:$AB$230,81,FALSE)</f>
        <v>#N/A</v>
      </c>
      <c r="Q115" s="12" t="e">
        <f>H115-P115</f>
        <v>#N/A</v>
      </c>
      <c r="R115" s="912" t="e">
        <f>IF(Q115=0,0,IF((AND(P115=0,H115&gt;0)),1,IF((AND(P115=0,H115&lt;0)),-1,Q115/ABS(P115))))</f>
        <v>#N/A</v>
      </c>
      <c r="S115" s="915" t="e">
        <f>IF(OR((ABS(Q115)&gt;19800000),AND(ABS(Q115)&gt;9900000,ABS(R115)&gt;0.1)),"yes","-")</f>
        <v>#N/A</v>
      </c>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spans="1:40" s="10" customFormat="1" ht="24" customHeight="1" x14ac:dyDescent="0.2">
      <c r="E116" s="11"/>
      <c r="F116" s="11"/>
      <c r="G116" s="12"/>
      <c r="H116" s="12"/>
      <c r="I116" s="12"/>
      <c r="J116" s="12"/>
      <c r="K116" s="12"/>
      <c r="L116" s="12"/>
      <c r="M116" s="923"/>
      <c r="N116" s="924"/>
      <c r="O116" s="13"/>
      <c r="P116" s="12"/>
      <c r="Q116" s="12"/>
      <c r="R116" s="923"/>
      <c r="S116" s="924"/>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spans="1:40" s="10" customFormat="1" x14ac:dyDescent="0.2">
      <c r="D117" s="10" t="s">
        <v>720</v>
      </c>
      <c r="E117" s="11"/>
      <c r="F117" s="11"/>
      <c r="G117" s="15">
        <f>SUM(G35,G43,G46:G63,G69,G71,G72,G83,G90,G91,G92,G101,G115)</f>
        <v>0</v>
      </c>
      <c r="H117" s="15">
        <f t="shared" ref="H117:L117" si="13">SUM(H35,H43,H46:H63,H69,H71,H72,H83,H90,H91,H92,H101,H115)</f>
        <v>0</v>
      </c>
      <c r="I117" s="15">
        <f t="shared" si="13"/>
        <v>0</v>
      </c>
      <c r="J117" s="15">
        <f t="shared" si="13"/>
        <v>0</v>
      </c>
      <c r="K117" s="15" t="e">
        <f t="shared" si="13"/>
        <v>#N/A</v>
      </c>
      <c r="L117" s="15" t="e">
        <f t="shared" si="13"/>
        <v>#N/A</v>
      </c>
      <c r="M117" s="921" t="e">
        <f t="shared" ref="M117" si="14">IF(L117=0,0,IF((AND(K117=0,G117&gt;0)),1,IF((AND(K117=0,G117&lt;0)),-1,L117/ABS(K117))))</f>
        <v>#N/A</v>
      </c>
      <c r="N117" s="924"/>
      <c r="O117" s="13"/>
      <c r="P117" s="15" t="e">
        <f>SUM(P35,P43,P46:P63,P69,P71,P72,P83,P90,P91,P92,P101,P115)</f>
        <v>#N/A</v>
      </c>
      <c r="Q117" s="15" t="e">
        <f>SUM(Q35,Q43,Q46:Q63,Q69,Q71,Q72,Q83,Q90,Q91,Q92,Q101,Q115)</f>
        <v>#N/A</v>
      </c>
      <c r="R117" s="921" t="e">
        <f>IF(Q117=0,0,IF((AND(P117=0,H117&gt;0)),1,IF((AND(P117=0,H117&lt;0)),-1,Q117/ABS(P117))))</f>
        <v>#N/A</v>
      </c>
      <c r="S117" s="924"/>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spans="1:40" s="10" customFormat="1" x14ac:dyDescent="0.2">
      <c r="E118" s="11"/>
      <c r="F118" s="11"/>
      <c r="G118" s="17"/>
      <c r="H118" s="17"/>
      <c r="I118" s="17"/>
      <c r="J118" s="17"/>
      <c r="K118" s="17"/>
      <c r="L118" s="17"/>
      <c r="M118" s="931"/>
      <c r="N118" s="924"/>
      <c r="O118" s="13"/>
      <c r="P118" s="17"/>
      <c r="Q118" s="17"/>
      <c r="R118" s="931"/>
      <c r="S118" s="924"/>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spans="1:40" s="10" customFormat="1" x14ac:dyDescent="0.2">
      <c r="A119" s="1" t="s">
        <v>850</v>
      </c>
      <c r="E119" s="2" t="s">
        <v>1684</v>
      </c>
      <c r="F119" s="11"/>
      <c r="G119" s="29"/>
      <c r="H119" s="194"/>
      <c r="I119" s="911">
        <f>'Elimination Entries to FST'!J120</f>
        <v>0</v>
      </c>
      <c r="J119" s="209">
        <f>SUM(G119:I119)</f>
        <v>0</v>
      </c>
      <c r="K119" s="12" t="e">
        <f>HLOOKUP($K$23,'HEI-PY FST $'!$A$1:$AB$257,93,FALSE)</f>
        <v>#N/A</v>
      </c>
      <c r="L119" s="12" t="e">
        <f>G119-K119</f>
        <v>#N/A</v>
      </c>
      <c r="M119" s="912" t="e">
        <f>IF(L119=0,0,IF((AND(K119=0,G119&gt;0)),1,IF((AND(K119=0,G119&lt;0)),-1,L119/ABS(K119))))</f>
        <v>#N/A</v>
      </c>
      <c r="N119" s="915" t="e">
        <f>IF(OR((ABS(L119)&gt;19800000),AND(ABS(L119)&gt;9900000,ABS(M119)&gt;0.1)),"yes","-")</f>
        <v>#N/A</v>
      </c>
      <c r="O119" s="13"/>
      <c r="P119" s="12"/>
      <c r="Q119" s="209"/>
      <c r="R119" s="914"/>
      <c r="S119" s="9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spans="1:40" s="10" customFormat="1" x14ac:dyDescent="0.2">
      <c r="E120" s="11"/>
      <c r="F120" s="11"/>
      <c r="G120" s="17"/>
      <c r="H120" s="17"/>
      <c r="I120" s="17"/>
      <c r="J120" s="17"/>
      <c r="K120" s="17"/>
      <c r="L120" s="17"/>
      <c r="M120" s="931"/>
      <c r="N120" s="924"/>
      <c r="O120" s="13"/>
      <c r="P120" s="17"/>
      <c r="Q120" s="17"/>
      <c r="R120" s="931"/>
      <c r="S120" s="924"/>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spans="1:40" s="10" customFormat="1" ht="12.75" thickBot="1" x14ac:dyDescent="0.25">
      <c r="D121" s="211" t="s">
        <v>890</v>
      </c>
      <c r="E121" s="11"/>
      <c r="F121" s="11"/>
      <c r="G121" s="20">
        <f>SUM(G117,G119)</f>
        <v>0</v>
      </c>
      <c r="H121" s="20">
        <f>SUM(H117,H119)</f>
        <v>0</v>
      </c>
      <c r="I121" s="20">
        <f t="shared" ref="I121:J121" si="15">SUM(I117,I119)</f>
        <v>0</v>
      </c>
      <c r="J121" s="20">
        <f t="shared" si="15"/>
        <v>0</v>
      </c>
      <c r="K121" s="20" t="e">
        <f>SUM(K117,K119)</f>
        <v>#N/A</v>
      </c>
      <c r="L121" s="20" t="e">
        <f>SUM(L117,L119)</f>
        <v>#N/A</v>
      </c>
      <c r="M121" s="934" t="e">
        <f>IF(L121=0,0,IF((AND(K121=0,G121&gt;0)),1,IF((AND(K121=0,G121&lt;0)),-1,L121/ABS(K121))))</f>
        <v>#N/A</v>
      </c>
      <c r="N121" s="924"/>
      <c r="O121" s="13"/>
      <c r="P121" s="20" t="e">
        <f>SUM(P117,P119)</f>
        <v>#N/A</v>
      </c>
      <c r="Q121" s="20" t="e">
        <f>SUM(Q117,Q119)</f>
        <v>#N/A</v>
      </c>
      <c r="R121" s="935" t="e">
        <f>IF(Q121=0,0,IF((AND(P121=0,H121&gt;0)),1,IF((AND(P121=0,H121&lt;0)),-1,Q121/ABS(P121))))</f>
        <v>#N/A</v>
      </c>
      <c r="S121" s="924"/>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spans="1:40" s="10" customFormat="1" ht="20.25" customHeight="1" thickTop="1" x14ac:dyDescent="0.2">
      <c r="A122" s="1" t="s">
        <v>892</v>
      </c>
      <c r="E122" s="11"/>
      <c r="F122" s="11"/>
      <c r="G122" s="12"/>
      <c r="H122" s="12"/>
      <c r="I122" s="12"/>
      <c r="J122" s="12"/>
      <c r="K122" s="12"/>
      <c r="L122" s="12"/>
      <c r="M122" s="923"/>
      <c r="N122" s="924"/>
      <c r="O122" s="13"/>
      <c r="P122" s="12"/>
      <c r="Q122" s="12"/>
      <c r="R122" s="923"/>
      <c r="S122" s="924"/>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spans="1:40" s="10" customFormat="1" x14ac:dyDescent="0.2">
      <c r="A123" s="1" t="s">
        <v>721</v>
      </c>
      <c r="E123" s="11"/>
      <c r="F123" s="11"/>
      <c r="G123" s="12"/>
      <c r="H123" s="12"/>
      <c r="I123" s="12"/>
      <c r="J123" s="12"/>
      <c r="K123" s="12"/>
      <c r="L123" s="12"/>
      <c r="M123" s="923"/>
      <c r="N123" s="924"/>
      <c r="O123" s="13"/>
      <c r="P123" s="12"/>
      <c r="Q123" s="12"/>
      <c r="R123" s="923"/>
      <c r="S123" s="924"/>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spans="1:40" s="10" customFormat="1" x14ac:dyDescent="0.2">
      <c r="A124" s="10" t="s">
        <v>212</v>
      </c>
      <c r="E124" s="11"/>
      <c r="F124" s="14"/>
      <c r="G124" s="209"/>
      <c r="H124" s="209"/>
      <c r="I124" s="209"/>
      <c r="J124" s="209"/>
      <c r="K124" s="209"/>
      <c r="L124" s="209"/>
      <c r="M124" s="914"/>
      <c r="N124" s="913"/>
      <c r="O124" s="918"/>
      <c r="P124" s="209"/>
      <c r="Q124" s="209"/>
      <c r="R124" s="914"/>
      <c r="S124" s="9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spans="1:40" s="10" customFormat="1" x14ac:dyDescent="0.2">
      <c r="B125" s="211" t="s">
        <v>293</v>
      </c>
      <c r="E125" s="11"/>
      <c r="F125" s="14"/>
      <c r="G125" s="29"/>
      <c r="H125" s="194"/>
      <c r="I125" s="911">
        <f>'Elimination Entries to FST'!J126</f>
        <v>0</v>
      </c>
      <c r="J125" s="209">
        <f>SUM(G125:I125)</f>
        <v>0</v>
      </c>
      <c r="K125" s="12" t="e">
        <f>HLOOKUP($K$23,'HEI-PY FST $'!$A$1:$AB$257,99,FALSE)</f>
        <v>#N/A</v>
      </c>
      <c r="L125" s="12" t="e">
        <f t="shared" ref="L125:L130" si="16">G125-K125</f>
        <v>#N/A</v>
      </c>
      <c r="M125" s="912" t="e">
        <f t="shared" ref="M125:M154" si="17">IF(L125=0,0,IF((AND(K125=0,G125&gt;0)),1,IF((AND(K125=0,G125&lt;0)),-1,L125/ABS(K125))))</f>
        <v>#N/A</v>
      </c>
      <c r="N125" s="915" t="e">
        <f>IF(OR((ABS(L125)&gt;19800000),AND(ABS(L125)&gt;9900000,ABS(M125)&gt;0.1)),"yes","-")</f>
        <v>#N/A</v>
      </c>
      <c r="O125" s="13"/>
      <c r="P125" s="12"/>
      <c r="Q125" s="209"/>
      <c r="R125" s="914"/>
      <c r="S125" s="9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spans="1:40" s="10" customFormat="1" x14ac:dyDescent="0.2">
      <c r="B126" s="211" t="s">
        <v>294</v>
      </c>
      <c r="E126" s="11"/>
      <c r="F126" s="14"/>
      <c r="G126" s="29"/>
      <c r="H126" s="194"/>
      <c r="I126" s="911">
        <f>'Elimination Entries to FST'!J127</f>
        <v>0</v>
      </c>
      <c r="J126" s="209">
        <f t="shared" ref="J126:J131" si="18">SUM(G126:I126)</f>
        <v>0</v>
      </c>
      <c r="K126" s="12" t="e">
        <f>HLOOKUP($K$23,'HEI-PY FST $'!$A$1:$AB$257,100,FALSE)</f>
        <v>#N/A</v>
      </c>
      <c r="L126" s="12" t="e">
        <f t="shared" si="16"/>
        <v>#N/A</v>
      </c>
      <c r="M126" s="912" t="e">
        <f t="shared" si="17"/>
        <v>#N/A</v>
      </c>
      <c r="N126" s="915" t="e">
        <f>IF(OR((ABS(L126)&gt;19800000),AND(ABS(L126)&gt;9900000,ABS(M126)&gt;0.1)),"yes","-")</f>
        <v>#N/A</v>
      </c>
      <c r="O126" s="13"/>
      <c r="P126" s="12"/>
      <c r="Q126" s="209" t="s">
        <v>108</v>
      </c>
      <c r="R126" s="914"/>
      <c r="S126" s="9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spans="1:40" s="10" customFormat="1" x14ac:dyDescent="0.2">
      <c r="B127" s="211" t="s">
        <v>597</v>
      </c>
      <c r="E127" s="11"/>
      <c r="F127" s="14"/>
      <c r="G127" s="29"/>
      <c r="H127" s="194"/>
      <c r="I127" s="911">
        <f>'Elimination Entries to FST'!J128</f>
        <v>0</v>
      </c>
      <c r="J127" s="209">
        <f t="shared" si="18"/>
        <v>0</v>
      </c>
      <c r="K127" s="12" t="e">
        <f>HLOOKUP($K$23,'HEI-PY FST $'!$A$1:$AB$257,101,FALSE)</f>
        <v>#N/A</v>
      </c>
      <c r="L127" s="12" t="e">
        <f t="shared" si="16"/>
        <v>#N/A</v>
      </c>
      <c r="M127" s="912" t="e">
        <f t="shared" si="17"/>
        <v>#N/A</v>
      </c>
      <c r="N127" s="915" t="e">
        <f>IF(OR((ABS(L127)&gt;19800000),AND(ABS(L127)&gt;9900000,ABS(M127)&gt;0.1)),"yes","-")</f>
        <v>#N/A</v>
      </c>
      <c r="O127" s="13"/>
      <c r="P127" s="12"/>
      <c r="Q127" s="209"/>
      <c r="R127" s="914"/>
      <c r="S127" s="9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spans="1:40" s="10" customFormat="1" x14ac:dyDescent="0.2">
      <c r="B128" s="211" t="s">
        <v>482</v>
      </c>
      <c r="E128" s="2" t="s">
        <v>1031</v>
      </c>
      <c r="F128" s="14"/>
      <c r="G128" s="29"/>
      <c r="H128" s="194"/>
      <c r="I128" s="911">
        <f>'Elimination Entries to FST'!J129</f>
        <v>0</v>
      </c>
      <c r="J128" s="209">
        <f t="shared" si="18"/>
        <v>0</v>
      </c>
      <c r="K128" s="12" t="e">
        <f>HLOOKUP($K$23,'HEI-PY FST $'!$A$1:$AB$257,102,FALSE)</f>
        <v>#N/A</v>
      </c>
      <c r="L128" s="12" t="e">
        <f t="shared" si="16"/>
        <v>#N/A</v>
      </c>
      <c r="M128" s="912" t="e">
        <f t="shared" si="17"/>
        <v>#N/A</v>
      </c>
      <c r="N128" s="915" t="e">
        <f>IF(OR((ABS(L128)&gt;19800000),AND(ABS(L128)&gt;9900000,ABS(M128)&gt;0.1)),"yes","-")</f>
        <v>#N/A</v>
      </c>
      <c r="O128" s="13"/>
      <c r="P128" s="12"/>
      <c r="Q128" s="209"/>
      <c r="R128" s="914"/>
      <c r="S128" s="9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spans="1:40" s="10" customFormat="1" x14ac:dyDescent="0.2">
      <c r="C129" s="10" t="s">
        <v>213</v>
      </c>
      <c r="E129" s="11"/>
      <c r="F129" s="14"/>
      <c r="G129" s="194">
        <f>SUM(G125:G128)</f>
        <v>0</v>
      </c>
      <c r="H129" s="194">
        <f t="shared" ref="H129:L129" si="19">SUM(H125:H128)</f>
        <v>0</v>
      </c>
      <c r="I129" s="194">
        <f t="shared" si="19"/>
        <v>0</v>
      </c>
      <c r="J129" s="396">
        <f t="shared" si="19"/>
        <v>0</v>
      </c>
      <c r="K129" s="394" t="e">
        <f t="shared" si="19"/>
        <v>#N/A</v>
      </c>
      <c r="L129" s="394" t="e">
        <f t="shared" si="19"/>
        <v>#N/A</v>
      </c>
      <c r="M129" s="921" t="e">
        <f t="shared" si="17"/>
        <v>#N/A</v>
      </c>
      <c r="N129" s="936"/>
      <c r="O129" s="13"/>
      <c r="P129" s="12"/>
      <c r="Q129" s="209"/>
      <c r="R129" s="914"/>
      <c r="S129" s="9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spans="1:40" s="10" customFormat="1" x14ac:dyDescent="0.2">
      <c r="A130" s="10" t="s">
        <v>599</v>
      </c>
      <c r="E130" s="11"/>
      <c r="F130" s="14"/>
      <c r="G130" s="29"/>
      <c r="H130" s="194"/>
      <c r="I130" s="911">
        <f>'Elimination Entries to FST'!J131</f>
        <v>0</v>
      </c>
      <c r="J130" s="209">
        <f t="shared" si="18"/>
        <v>0</v>
      </c>
      <c r="K130" s="12" t="e">
        <f>HLOOKUP($K$23,'HEI-PY FST $'!$A$1:$AB$257,104,FALSE)</f>
        <v>#N/A</v>
      </c>
      <c r="L130" s="12" t="e">
        <f t="shared" si="16"/>
        <v>#N/A</v>
      </c>
      <c r="M130" s="912" t="e">
        <f t="shared" si="17"/>
        <v>#N/A</v>
      </c>
      <c r="N130" s="915" t="e">
        <f>IF(OR((ABS(L130)&gt;19800000),AND(ABS(L130)&gt;9900000,ABS(M130)&gt;0.1)),"yes","-")</f>
        <v>#N/A</v>
      </c>
      <c r="O130" s="13"/>
      <c r="P130" s="12"/>
      <c r="Q130" s="209"/>
      <c r="R130" s="914"/>
      <c r="S130" s="9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spans="1:40" s="10" customFormat="1" x14ac:dyDescent="0.2">
      <c r="A131" s="10" t="s">
        <v>526</v>
      </c>
      <c r="E131" s="11"/>
      <c r="F131" s="14"/>
      <c r="G131" s="194"/>
      <c r="H131" s="911">
        <f>'Combining FST'!Q63</f>
        <v>0</v>
      </c>
      <c r="I131" s="911">
        <f>'Elimination Entries to FST'!J132</f>
        <v>0</v>
      </c>
      <c r="J131" s="209">
        <f t="shared" si="18"/>
        <v>0</v>
      </c>
      <c r="K131" s="12"/>
      <c r="L131" s="209"/>
      <c r="M131" s="914"/>
      <c r="N131" s="913"/>
      <c r="O131" s="13"/>
      <c r="P131" s="12" t="e">
        <f>HLOOKUP($K$23,'Foundation-PY FST $'!$A$1:$AB$230,93,FALSE)</f>
        <v>#N/A</v>
      </c>
      <c r="Q131" s="12" t="e">
        <f>H131-P131</f>
        <v>#N/A</v>
      </c>
      <c r="R131" s="912" t="e">
        <f>IF(Q131=0,0,IF((AND(P131=0,H131&gt;0)),1,IF((AND(P131=0,H131&lt;0)),-1,Q131/ABS(P131))))</f>
        <v>#N/A</v>
      </c>
      <c r="S131" s="915" t="e">
        <f>IF(OR((ABS(Q131)&gt;19800000),AND(ABS(Q131)&gt;9900000,ABS(R131)&gt;0.1)),"yes","-")</f>
        <v>#N/A</v>
      </c>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spans="1:40" s="10" customFormat="1" x14ac:dyDescent="0.2">
      <c r="C132" s="18" t="s">
        <v>15</v>
      </c>
      <c r="E132" s="11"/>
      <c r="F132" s="14"/>
      <c r="G132" s="198">
        <f>SUM(G129:G130)</f>
        <v>0</v>
      </c>
      <c r="H132" s="198">
        <f>SUM(H131)</f>
        <v>0</v>
      </c>
      <c r="I132" s="198">
        <f>SUM(I129:I131)</f>
        <v>0</v>
      </c>
      <c r="J132" s="15">
        <f>SUM(J129:J131)</f>
        <v>0</v>
      </c>
      <c r="K132" s="15" t="e">
        <f>SUM(K129:K130)</f>
        <v>#N/A</v>
      </c>
      <c r="L132" s="15" t="e">
        <f>SUM(L129:L130)</f>
        <v>#N/A</v>
      </c>
      <c r="M132" s="921" t="e">
        <f t="shared" si="17"/>
        <v>#N/A</v>
      </c>
      <c r="N132" s="936"/>
      <c r="O132" s="937"/>
      <c r="P132" s="15" t="e">
        <f>SUM(P131)</f>
        <v>#N/A</v>
      </c>
      <c r="Q132" s="15" t="e">
        <f>SUM(Q131)</f>
        <v>#N/A</v>
      </c>
      <c r="R132" s="921" t="e">
        <f>IF(Q132=0,0,IF((AND(P132=0,H132&gt;0)),1,IF((AND(P132=0,H132&lt;0)),-1,Q132/ABS(P132))))</f>
        <v>#N/A</v>
      </c>
      <c r="S132" s="9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spans="1:40" s="10" customFormat="1" x14ac:dyDescent="0.2">
      <c r="E133" s="11"/>
      <c r="F133" s="11"/>
      <c r="G133" s="12"/>
      <c r="H133" s="12"/>
      <c r="I133" s="12"/>
      <c r="J133" s="12"/>
      <c r="K133" s="12"/>
      <c r="L133" s="12"/>
      <c r="M133" s="923"/>
      <c r="N133" s="924"/>
      <c r="O133" s="13"/>
      <c r="P133" s="12"/>
      <c r="Q133" s="12"/>
      <c r="R133" s="923"/>
      <c r="S133" s="924"/>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spans="1:40" s="10" customFormat="1" x14ac:dyDescent="0.2">
      <c r="A134" s="18" t="s">
        <v>79</v>
      </c>
      <c r="E134" s="11"/>
      <c r="F134" s="11"/>
      <c r="G134" s="29"/>
      <c r="H134" s="911">
        <f>'Combining FST'!Q65</f>
        <v>0</v>
      </c>
      <c r="I134" s="911">
        <f>'Elimination Entries to FST'!J135</f>
        <v>0</v>
      </c>
      <c r="J134" s="209">
        <f>SUM(G134:I134)</f>
        <v>0</v>
      </c>
      <c r="K134" s="12" t="e">
        <f>HLOOKUP($K$23,'HEI-PY FST $'!$A$1:$AB$257,108,FALSE)</f>
        <v>#N/A</v>
      </c>
      <c r="L134" s="12" t="e">
        <f t="shared" ref="L134:L141" si="20">G134-K134</f>
        <v>#N/A</v>
      </c>
      <c r="M134" s="912" t="e">
        <f t="shared" si="17"/>
        <v>#N/A</v>
      </c>
      <c r="N134" s="915" t="e">
        <f>IF(OR((ABS(L134)&gt;19800000),AND(ABS(L134)&gt;9900000,ABS(M134)&gt;0.1)),"yes","-")</f>
        <v>#N/A</v>
      </c>
      <c r="O134" s="13"/>
      <c r="P134" s="12" t="e">
        <f>HLOOKUP($K$23,'Foundation-PY FST $'!$A$1:$AB$230,96,FALSE)</f>
        <v>#N/A</v>
      </c>
      <c r="Q134" s="12" t="e">
        <f t="shared" ref="Q134:Q141" si="21">H134-P134</f>
        <v>#N/A</v>
      </c>
      <c r="R134" s="912" t="e">
        <f>IF(Q134=0,0,IF((AND(P134=0,H134&gt;0)),1,IF((AND(P134=0,H134&lt;0)),-1,Q134/ABS(P134))))</f>
        <v>#N/A</v>
      </c>
      <c r="S134" s="915" t="e">
        <f>IF(OR((ABS(Q134)&gt;19800000),AND(ABS(Q134)&gt;9900000,ABS(R134)&gt;0.1)),"yes","-")</f>
        <v>#N/A</v>
      </c>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spans="1:40" s="10" customFormat="1" x14ac:dyDescent="0.2">
      <c r="A135" s="18" t="s">
        <v>722</v>
      </c>
      <c r="E135" s="11"/>
      <c r="F135" s="11"/>
      <c r="G135" s="29"/>
      <c r="H135" s="194"/>
      <c r="I135" s="911">
        <f>'Elimination Entries to FST'!J136</f>
        <v>0</v>
      </c>
      <c r="J135" s="209">
        <f>SUM(G135:I135)</f>
        <v>0</v>
      </c>
      <c r="K135" s="12" t="e">
        <f>HLOOKUP($K$23,'HEI-PY FST $'!$A$1:$AB$257,109,FALSE)</f>
        <v>#N/A</v>
      </c>
      <c r="L135" s="12" t="e">
        <f t="shared" si="20"/>
        <v>#N/A</v>
      </c>
      <c r="M135" s="912" t="e">
        <f t="shared" si="17"/>
        <v>#N/A</v>
      </c>
      <c r="N135" s="915" t="e">
        <f>IF(OR((ABS(L135)&gt;19800000),AND(ABS(L135)&gt;9900000,ABS(M135)&gt;0.1)),"yes","-")</f>
        <v>#N/A</v>
      </c>
      <c r="O135" s="13"/>
      <c r="P135" s="12"/>
      <c r="Q135" s="209"/>
      <c r="R135" s="914"/>
      <c r="S135" s="9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spans="1:40" s="10" customFormat="1" x14ac:dyDescent="0.2">
      <c r="A136" s="18" t="s">
        <v>995</v>
      </c>
      <c r="E136" s="11"/>
      <c r="F136" s="11"/>
      <c r="G136" s="29"/>
      <c r="H136" s="194"/>
      <c r="I136" s="911">
        <f>'Elimination Entries to FST'!J137</f>
        <v>0</v>
      </c>
      <c r="J136" s="209">
        <f>SUM(G136:I136)</f>
        <v>0</v>
      </c>
      <c r="K136" s="12" t="e">
        <f>HLOOKUP($K$23,'HEI-PY FST $'!$A$1:$AB$257,110,FALSE)</f>
        <v>#N/A</v>
      </c>
      <c r="L136" s="12" t="e">
        <f t="shared" ref="L136" si="22">G136-K136</f>
        <v>#N/A</v>
      </c>
      <c r="M136" s="912" t="e">
        <f t="shared" ref="M136" si="23">IF(L136=0,0,IF((AND(K136=0,G136&gt;0)),1,IF((AND(K136=0,G136&lt;0)),-1,L136/ABS(K136))))</f>
        <v>#N/A</v>
      </c>
      <c r="N136" s="915" t="e">
        <f>IF(OR((ABS(L136)&gt;19800000),AND(ABS(L136)&gt;9900000,ABS(M136)&gt;0.1)),"yes","-")</f>
        <v>#N/A</v>
      </c>
      <c r="O136" s="13"/>
      <c r="P136" s="12"/>
      <c r="Q136" s="209"/>
      <c r="R136" s="914"/>
      <c r="S136" s="9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spans="1:40" s="10" customFormat="1" x14ac:dyDescent="0.2">
      <c r="A137" s="18" t="s">
        <v>723</v>
      </c>
      <c r="E137" s="11"/>
      <c r="F137" s="11"/>
      <c r="G137" s="29"/>
      <c r="H137" s="194"/>
      <c r="I137" s="911">
        <f>'Elimination Entries to FST'!J138</f>
        <v>0</v>
      </c>
      <c r="J137" s="209">
        <f>SUM(G137:I137)</f>
        <v>0</v>
      </c>
      <c r="K137" s="12" t="e">
        <f>HLOOKUP($K$23,'HEI-PY FST $'!$A$1:$AB$257,111,FALSE)</f>
        <v>#N/A</v>
      </c>
      <c r="L137" s="12" t="e">
        <f t="shared" si="20"/>
        <v>#N/A</v>
      </c>
      <c r="M137" s="912" t="e">
        <f t="shared" si="17"/>
        <v>#N/A</v>
      </c>
      <c r="N137" s="915" t="e">
        <f>IF(OR((ABS(L137)&gt;19800000),AND(ABS(L137)&gt;9900000,ABS(M137)&gt;0.1)),"yes","-")</f>
        <v>#N/A</v>
      </c>
      <c r="O137" s="13"/>
      <c r="P137" s="12"/>
      <c r="Q137" s="209"/>
      <c r="R137" s="914"/>
      <c r="S137" s="913"/>
      <c r="T137" s="13"/>
      <c r="U137" s="928" t="s">
        <v>821</v>
      </c>
      <c r="V137" s="13"/>
      <c r="W137" s="13"/>
      <c r="X137" s="13"/>
      <c r="Y137" s="13"/>
      <c r="Z137" s="13"/>
      <c r="AA137" s="13"/>
      <c r="AB137" s="13"/>
      <c r="AC137" s="13"/>
      <c r="AD137" s="13"/>
      <c r="AE137" s="13"/>
      <c r="AF137" s="13"/>
      <c r="AG137" s="13"/>
      <c r="AH137" s="13"/>
      <c r="AI137" s="13"/>
      <c r="AJ137" s="13"/>
      <c r="AK137" s="13"/>
      <c r="AL137" s="13"/>
      <c r="AM137" s="13"/>
      <c r="AN137" s="13"/>
    </row>
    <row r="138" spans="1:40" s="10" customFormat="1" x14ac:dyDescent="0.2">
      <c r="A138" s="10" t="s">
        <v>80</v>
      </c>
      <c r="E138" s="11" t="s">
        <v>220</v>
      </c>
      <c r="F138" s="11"/>
      <c r="G138" s="194"/>
      <c r="H138" s="911">
        <f>'Combining FST'!Q66</f>
        <v>0</v>
      </c>
      <c r="I138" s="911">
        <f>'Elimination Entries to FST'!J139</f>
        <v>0</v>
      </c>
      <c r="J138" s="265">
        <f>IF(SUM(G138:I138)=0,SUM(G138:I138),"ERROR")</f>
        <v>0</v>
      </c>
      <c r="K138" s="12"/>
      <c r="L138" s="209"/>
      <c r="M138" s="914"/>
      <c r="N138" s="913"/>
      <c r="O138" s="13"/>
      <c r="P138" s="12" t="e">
        <f>HLOOKUP($K$23,'Foundation-PY FST $'!$A$1:$AB$230,99,FALSE)</f>
        <v>#N/A</v>
      </c>
      <c r="Q138" s="12" t="e">
        <f t="shared" si="21"/>
        <v>#N/A</v>
      </c>
      <c r="R138" s="912" t="e">
        <f>IF(Q138=0,0,IF((AND(P138=0,H138&gt;0)),1,IF((AND(P138=0,H138&lt;0)),-1,Q138/ABS(P138))))</f>
        <v>#N/A</v>
      </c>
      <c r="S138" s="915" t="e">
        <f>IF(OR((ABS(Q138)&gt;19800000),AND(ABS(Q138)&gt;9900000,ABS(R138)&gt;0.1)),"yes","-")</f>
        <v>#N/A</v>
      </c>
      <c r="T138" s="13"/>
      <c r="U138" s="929">
        <f>SUM(G138:I138)</f>
        <v>0</v>
      </c>
      <c r="V138" s="13"/>
      <c r="W138" s="13"/>
      <c r="X138" s="13"/>
      <c r="Y138" s="13"/>
      <c r="Z138" s="13"/>
      <c r="AA138" s="13"/>
      <c r="AB138" s="13"/>
      <c r="AC138" s="13"/>
      <c r="AD138" s="13"/>
      <c r="AE138" s="13"/>
      <c r="AF138" s="13"/>
      <c r="AG138" s="13"/>
      <c r="AH138" s="13"/>
      <c r="AI138" s="13"/>
      <c r="AJ138" s="13"/>
      <c r="AK138" s="13"/>
      <c r="AL138" s="13"/>
      <c r="AM138" s="13"/>
      <c r="AN138" s="13"/>
    </row>
    <row r="139" spans="1:40" s="10" customFormat="1" x14ac:dyDescent="0.2">
      <c r="A139" s="10" t="s">
        <v>518</v>
      </c>
      <c r="E139" s="11" t="s">
        <v>220</v>
      </c>
      <c r="F139" s="11"/>
      <c r="G139" s="193"/>
      <c r="H139" s="911">
        <f>'Combining FST'!Q67</f>
        <v>0</v>
      </c>
      <c r="I139" s="911">
        <f>'Elimination Entries to FST'!J140</f>
        <v>0</v>
      </c>
      <c r="J139" s="265">
        <f>IF(SUM(G139:I139)=0,SUM(G139:I139),"ERROR")</f>
        <v>0</v>
      </c>
      <c r="K139" s="12" t="e">
        <f>HLOOKUP($K$23,'HEI-PY FST $'!$A$1:$AB$257,112,FALSE)</f>
        <v>#N/A</v>
      </c>
      <c r="L139" s="12" t="e">
        <f t="shared" si="20"/>
        <v>#N/A</v>
      </c>
      <c r="M139" s="912" t="e">
        <f t="shared" si="17"/>
        <v>#N/A</v>
      </c>
      <c r="N139" s="915" t="e">
        <f>IF(OR((ABS(L139)&gt;19800000),AND(ABS(L139)&gt;9900000,ABS(M139)&gt;0.1)),"yes","-")</f>
        <v>#N/A</v>
      </c>
      <c r="O139" s="13"/>
      <c r="P139" s="12" t="e">
        <f>HLOOKUP($K$23,'Foundation-PY FST $'!$A$1:$AB$230,100,FALSE)</f>
        <v>#N/A</v>
      </c>
      <c r="Q139" s="12" t="e">
        <f t="shared" si="21"/>
        <v>#N/A</v>
      </c>
      <c r="R139" s="912" t="e">
        <f>IF(Q139=0,0,IF((AND(P139=0,H139&gt;0)),1,IF((AND(P139=0,H139&lt;0)),-1,Q139/ABS(P139))))</f>
        <v>#N/A</v>
      </c>
      <c r="S139" s="915" t="e">
        <f>IF(OR((ABS(Q139)&gt;19800000),AND(ABS(Q139)&gt;9900000,ABS(R139)&gt;0.1)),"yes","-")</f>
        <v>#N/A</v>
      </c>
      <c r="T139" s="13"/>
      <c r="U139" s="930">
        <f>SUM(G139:I139)</f>
        <v>0</v>
      </c>
      <c r="V139" s="13"/>
      <c r="W139" s="13"/>
      <c r="X139" s="13"/>
      <c r="Y139" s="13"/>
      <c r="Z139" s="13"/>
      <c r="AA139" s="13"/>
      <c r="AB139" s="13"/>
      <c r="AC139" s="13"/>
      <c r="AD139" s="13"/>
      <c r="AE139" s="13"/>
      <c r="AF139" s="13"/>
      <c r="AG139" s="13"/>
      <c r="AH139" s="13"/>
      <c r="AI139" s="13"/>
      <c r="AJ139" s="13"/>
      <c r="AK139" s="13"/>
      <c r="AL139" s="13"/>
      <c r="AM139" s="13"/>
      <c r="AN139" s="13"/>
    </row>
    <row r="140" spans="1:40" s="10" customFormat="1" x14ac:dyDescent="0.2">
      <c r="A140" s="18" t="s">
        <v>216</v>
      </c>
      <c r="E140" s="11" t="s">
        <v>813</v>
      </c>
      <c r="F140" s="14"/>
      <c r="G140" s="29"/>
      <c r="H140" s="911">
        <f>'Combining FST'!Q68</f>
        <v>0</v>
      </c>
      <c r="I140" s="911">
        <f>'Elimination Entries to FST'!J141</f>
        <v>0</v>
      </c>
      <c r="J140" s="209">
        <f>SUM(G140:I140)</f>
        <v>0</v>
      </c>
      <c r="K140" s="12" t="e">
        <f>HLOOKUP($K$23,'HEI-PY FST $'!$A$1:$AB$257,113,FALSE)</f>
        <v>#N/A</v>
      </c>
      <c r="L140" s="12" t="e">
        <f t="shared" si="20"/>
        <v>#N/A</v>
      </c>
      <c r="M140" s="912" t="e">
        <f t="shared" si="17"/>
        <v>#N/A</v>
      </c>
      <c r="N140" s="915" t="e">
        <f>IF(OR((ABS(L140)&gt;19800000),AND(ABS(L140)&gt;9900000,ABS(M140)&gt;0.1)),"yes","-")</f>
        <v>#N/A</v>
      </c>
      <c r="O140" s="13"/>
      <c r="P140" s="12" t="e">
        <f>HLOOKUP($K$23,'Foundation-PY FST $'!$A$1:$AB$230,101,FALSE)</f>
        <v>#N/A</v>
      </c>
      <c r="Q140" s="12" t="e">
        <f t="shared" si="21"/>
        <v>#N/A</v>
      </c>
      <c r="R140" s="912" t="e">
        <f>IF(Q140=0,0,IF((AND(P140=0,H140&gt;0)),1,IF((AND(P140=0,H140&lt;0)),-1,Q140/ABS(P140))))</f>
        <v>#N/A</v>
      </c>
      <c r="S140" s="915" t="e">
        <f>IF(OR((ABS(Q140)&gt;19800000),AND(ABS(Q140)&gt;9900000,ABS(R140)&gt;0.1)),"yes","-")</f>
        <v>#N/A</v>
      </c>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spans="1:40" s="10" customFormat="1" x14ac:dyDescent="0.2">
      <c r="A141" s="18" t="s">
        <v>234</v>
      </c>
      <c r="E141" s="11"/>
      <c r="F141" s="11"/>
      <c r="G141" s="29"/>
      <c r="H141" s="911">
        <f>'Combining FST'!Q69</f>
        <v>0</v>
      </c>
      <c r="I141" s="911">
        <f>'Elimination Entries to FST'!J142</f>
        <v>0</v>
      </c>
      <c r="J141" s="209">
        <f>SUM(G141:I141)</f>
        <v>0</v>
      </c>
      <c r="K141" s="12" t="e">
        <f>HLOOKUP($K$23,'HEI-PY FST $'!$A$1:$AB$257,114,FALSE)</f>
        <v>#N/A</v>
      </c>
      <c r="L141" s="12" t="e">
        <f t="shared" si="20"/>
        <v>#N/A</v>
      </c>
      <c r="M141" s="912" t="e">
        <f t="shared" si="17"/>
        <v>#N/A</v>
      </c>
      <c r="N141" s="915" t="e">
        <f>IF(OR((ABS(L141)&gt;19800000),AND(ABS(L141)&gt;9900000,ABS(M141)&gt;0.1)),"yes","-")</f>
        <v>#N/A</v>
      </c>
      <c r="O141" s="13"/>
      <c r="P141" s="12" t="e">
        <f>HLOOKUP($K$23,'Foundation-PY FST $'!$A$1:$AB$230,102,FALSE)</f>
        <v>#N/A</v>
      </c>
      <c r="Q141" s="12" t="e">
        <f t="shared" si="21"/>
        <v>#N/A</v>
      </c>
      <c r="R141" s="912" t="e">
        <f>IF(Q141=0,0,IF((AND(P141=0,H141&gt;0)),1,IF((AND(P141=0,H141&lt;0)),-1,Q141/ABS(P141))))</f>
        <v>#N/A</v>
      </c>
      <c r="S141" s="915" t="e">
        <f>IF(OR((ABS(Q141)&gt;19800000),AND(ABS(Q141)&gt;9900000,ABS(R141)&gt;0.1)),"yes","-")</f>
        <v>#N/A</v>
      </c>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spans="1:40" s="10" customFormat="1" x14ac:dyDescent="0.2">
      <c r="E142" s="11"/>
      <c r="F142" s="11"/>
      <c r="G142" s="12"/>
      <c r="H142" s="12"/>
      <c r="I142" s="12"/>
      <c r="J142" s="12"/>
      <c r="K142" s="12"/>
      <c r="L142" s="12"/>
      <c r="M142" s="912"/>
      <c r="N142" s="924"/>
      <c r="O142" s="13"/>
      <c r="P142" s="12"/>
      <c r="Q142" s="12"/>
      <c r="R142" s="912"/>
      <c r="S142" s="924"/>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spans="1:40" s="10" customFormat="1" x14ac:dyDescent="0.2">
      <c r="A143" s="10" t="s">
        <v>16</v>
      </c>
      <c r="E143" s="11"/>
      <c r="F143" s="11"/>
      <c r="G143" s="29"/>
      <c r="H143" s="911">
        <f>'Combining FST'!Q71</f>
        <v>0</v>
      </c>
      <c r="I143" s="911">
        <f>'Elimination Entries to FST'!J144</f>
        <v>0</v>
      </c>
      <c r="J143" s="209">
        <f>SUM(G143:I143)</f>
        <v>0</v>
      </c>
      <c r="K143" s="12" t="e">
        <f>HLOOKUP($K$23,'HEI-PY FST $'!$A$1:$AB$257,116,FALSE)</f>
        <v>#N/A</v>
      </c>
      <c r="L143" s="12" t="e">
        <f>G143-K143</f>
        <v>#N/A</v>
      </c>
      <c r="M143" s="912" t="e">
        <f t="shared" si="17"/>
        <v>#N/A</v>
      </c>
      <c r="N143" s="915" t="e">
        <f>IF(OR((ABS(L143)&gt;19800000),AND(ABS(L143)&gt;9900000,ABS(M143)&gt;0.1)),"yes","-")</f>
        <v>#N/A</v>
      </c>
      <c r="O143" s="13"/>
      <c r="P143" s="12" t="e">
        <f>HLOOKUP($K$23,'Foundation-PY FST $'!$A$1:$AB$230,104,FALSE)</f>
        <v>#N/A</v>
      </c>
      <c r="Q143" s="12" t="e">
        <f>H143-P143</f>
        <v>#N/A</v>
      </c>
      <c r="R143" s="912" t="e">
        <f t="shared" ref="R143:R148" si="24">IF(Q143=0,0,IF((AND(P143=0,H143&gt;0)),1,IF((AND(P143=0,H143&lt;0)),-1,Q143/ABS(P143))))</f>
        <v>#N/A</v>
      </c>
      <c r="S143" s="915" t="e">
        <f>IF(OR((ABS(Q143)&gt;19800000),AND(ABS(Q143)&gt;9900000,ABS(R143)&gt;0.1)),"yes","-")</f>
        <v>#N/A</v>
      </c>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spans="1:40" s="10" customFormat="1" x14ac:dyDescent="0.2">
      <c r="A144" s="10" t="s">
        <v>760</v>
      </c>
      <c r="E144" s="2" t="s">
        <v>1032</v>
      </c>
      <c r="F144" s="11"/>
      <c r="G144" s="29"/>
      <c r="H144" s="911">
        <f>'Combining FST'!Q72</f>
        <v>0</v>
      </c>
      <c r="I144" s="911">
        <f>'Elimination Entries to FST'!J145</f>
        <v>0</v>
      </c>
      <c r="J144" s="209">
        <f>SUM(G144:I144)</f>
        <v>0</v>
      </c>
      <c r="K144" s="12" t="e">
        <f>HLOOKUP($K$23,'HEI-PY FST $'!$A$1:$AB$257,117,FALSE)</f>
        <v>#N/A</v>
      </c>
      <c r="L144" s="12" t="e">
        <f>G144-K144</f>
        <v>#N/A</v>
      </c>
      <c r="M144" s="912" t="e">
        <f t="shared" si="17"/>
        <v>#N/A</v>
      </c>
      <c r="N144" s="915" t="e">
        <f>IF(OR((ABS(L144)&gt;19800000),AND(ABS(L144)&gt;9900000,ABS(M144)&gt;0.1)),"yes","-")</f>
        <v>#N/A</v>
      </c>
      <c r="O144" s="13"/>
      <c r="P144" s="12" t="e">
        <f>HLOOKUP($K$23,'Foundation-PY FST $'!$A$1:$AB$230,105,FALSE)</f>
        <v>#N/A</v>
      </c>
      <c r="Q144" s="12" t="e">
        <f>H144-P144</f>
        <v>#N/A</v>
      </c>
      <c r="R144" s="912" t="e">
        <f t="shared" si="24"/>
        <v>#N/A</v>
      </c>
      <c r="S144" s="915" t="e">
        <f>IF(OR((ABS(Q144)&gt;19800000),AND(ABS(Q144)&gt;9900000,ABS(R144)&gt;0.1)),"yes","-")</f>
        <v>#N/A</v>
      </c>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spans="1:40" s="10" customFormat="1" x14ac:dyDescent="0.2">
      <c r="A145" s="10" t="s">
        <v>335</v>
      </c>
      <c r="E145" s="11"/>
      <c r="F145" s="11"/>
      <c r="G145" s="29"/>
      <c r="H145" s="911">
        <f>'Combining FST'!Q73</f>
        <v>0</v>
      </c>
      <c r="I145" s="911">
        <f>'Elimination Entries to FST'!J146</f>
        <v>0</v>
      </c>
      <c r="J145" s="209">
        <f>SUM(G145:I145)</f>
        <v>0</v>
      </c>
      <c r="K145" s="12" t="e">
        <f>HLOOKUP($K$23,'HEI-PY FST $'!$A$1:$AB$257,118,FALSE)</f>
        <v>#N/A</v>
      </c>
      <c r="L145" s="12" t="e">
        <f>G145-K145</f>
        <v>#N/A</v>
      </c>
      <c r="M145" s="912" t="e">
        <f t="shared" si="17"/>
        <v>#N/A</v>
      </c>
      <c r="N145" s="915" t="e">
        <f>IF(OR((ABS(L145)&gt;19800000),AND(ABS(L145)&gt;9900000,ABS(M145)&gt;0.1)),"yes","-")</f>
        <v>#N/A</v>
      </c>
      <c r="O145" s="13"/>
      <c r="P145" s="12" t="e">
        <f>HLOOKUP($K$23,'Foundation-PY FST $'!$A$1:$AB$230,106,FALSE)</f>
        <v>#N/A</v>
      </c>
      <c r="Q145" s="12" t="e">
        <f>H145-P145</f>
        <v>#N/A</v>
      </c>
      <c r="R145" s="912" t="e">
        <f t="shared" si="24"/>
        <v>#N/A</v>
      </c>
      <c r="S145" s="915" t="e">
        <f>IF(OR((ABS(Q145)&gt;19800000),AND(ABS(Q145)&gt;9900000,ABS(R145)&gt;0.1)),"yes","-")</f>
        <v>#N/A</v>
      </c>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spans="1:40" s="10" customFormat="1" x14ac:dyDescent="0.2">
      <c r="A146" s="211" t="s">
        <v>925</v>
      </c>
      <c r="E146" s="11" t="s">
        <v>607</v>
      </c>
      <c r="F146" s="11"/>
      <c r="G146" s="29"/>
      <c r="H146" s="911">
        <f>'Combining FST'!Q74</f>
        <v>0</v>
      </c>
      <c r="I146" s="911">
        <f>'Elimination Entries to FST'!J147</f>
        <v>0</v>
      </c>
      <c r="J146" s="209">
        <f>SUM(G146:I146)</f>
        <v>0</v>
      </c>
      <c r="K146" s="12" t="e">
        <f>HLOOKUP($K$23,'HEI-PY FST $'!$A$1:$AB$257,119,FALSE)</f>
        <v>#N/A</v>
      </c>
      <c r="L146" s="12" t="e">
        <f>G146-K146</f>
        <v>#N/A</v>
      </c>
      <c r="M146" s="912" t="e">
        <f t="shared" si="17"/>
        <v>#N/A</v>
      </c>
      <c r="N146" s="915" t="e">
        <f>IF(OR((ABS(L146)&gt;19800000),AND(ABS(L146)&gt;9900000,ABS(M146)&gt;0.1)),"yes","-")</f>
        <v>#N/A</v>
      </c>
      <c r="O146" s="13"/>
      <c r="P146" s="12" t="e">
        <f>HLOOKUP($K$23,'Foundation-PY FST $'!$A$1:$AB$230,107,FALSE)</f>
        <v>#N/A</v>
      </c>
      <c r="Q146" s="12" t="e">
        <f>H146-P146</f>
        <v>#N/A</v>
      </c>
      <c r="R146" s="912" t="e">
        <f t="shared" si="24"/>
        <v>#N/A</v>
      </c>
      <c r="S146" s="915" t="e">
        <f>IF(OR((ABS(Q146)&gt;19800000),AND(ABS(Q146)&gt;9900000,ABS(R146)&gt;0.1)),"yes","-")</f>
        <v>#N/A</v>
      </c>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spans="1:40" s="10" customFormat="1" x14ac:dyDescent="0.2">
      <c r="A147" s="10" t="s">
        <v>814</v>
      </c>
      <c r="E147" s="11"/>
      <c r="F147" s="11"/>
      <c r="G147" s="29"/>
      <c r="H147" s="911">
        <f>'Combining FST'!Q75</f>
        <v>0</v>
      </c>
      <c r="I147" s="911">
        <f>'Elimination Entries to FST'!J148</f>
        <v>0</v>
      </c>
      <c r="J147" s="209">
        <f>SUM(G147:I147)</f>
        <v>0</v>
      </c>
      <c r="K147" s="12" t="e">
        <f>HLOOKUP($K$23,'HEI-PY FST $'!$A$1:$AB$257,120,FALSE)</f>
        <v>#N/A</v>
      </c>
      <c r="L147" s="12" t="e">
        <f>G147-K147</f>
        <v>#N/A</v>
      </c>
      <c r="M147" s="912" t="e">
        <f t="shared" si="17"/>
        <v>#N/A</v>
      </c>
      <c r="N147" s="915" t="e">
        <f>IF(OR((ABS(L147)&gt;19800000),AND(ABS(L147)&gt;9900000,ABS(M147)&gt;0.1)),"yes","-")</f>
        <v>#N/A</v>
      </c>
      <c r="O147" s="13"/>
      <c r="P147" s="12" t="e">
        <f>HLOOKUP($K$23,'Foundation-PY FST $'!$A$1:$AB$230,108,FALSE)</f>
        <v>#N/A</v>
      </c>
      <c r="Q147" s="12" t="e">
        <f>H147-P147</f>
        <v>#N/A</v>
      </c>
      <c r="R147" s="912" t="e">
        <f t="shared" si="24"/>
        <v>#N/A</v>
      </c>
      <c r="S147" s="915" t="e">
        <f>IF(OR((ABS(Q147)&gt;19800000),AND(ABS(Q147)&gt;9900000,ABS(R147)&gt;0.1)),"yes","-")</f>
        <v>#N/A</v>
      </c>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spans="1:40" s="10" customFormat="1" x14ac:dyDescent="0.2">
      <c r="C148" s="18" t="s">
        <v>815</v>
      </c>
      <c r="E148" s="11"/>
      <c r="F148" s="11"/>
      <c r="G148" s="15">
        <f>SUM(G143:G147)</f>
        <v>0</v>
      </c>
      <c r="H148" s="15">
        <f t="shared" ref="H148:L148" si="25">SUM(H143:H147)</f>
        <v>0</v>
      </c>
      <c r="I148" s="15">
        <f t="shared" si="25"/>
        <v>0</v>
      </c>
      <c r="J148" s="15">
        <f t="shared" si="25"/>
        <v>0</v>
      </c>
      <c r="K148" s="15" t="e">
        <f t="shared" si="25"/>
        <v>#N/A</v>
      </c>
      <c r="L148" s="15" t="e">
        <f t="shared" si="25"/>
        <v>#N/A</v>
      </c>
      <c r="M148" s="921" t="e">
        <f t="shared" si="17"/>
        <v>#N/A</v>
      </c>
      <c r="N148" s="924"/>
      <c r="O148" s="13"/>
      <c r="P148" s="15" t="e">
        <f>SUM(P143:P147)</f>
        <v>#N/A</v>
      </c>
      <c r="Q148" s="15" t="e">
        <f>SUM(Q143:Q147)</f>
        <v>#N/A</v>
      </c>
      <c r="R148" s="921" t="e">
        <f t="shared" si="24"/>
        <v>#N/A</v>
      </c>
      <c r="S148" s="924"/>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spans="1:40" s="10" customFormat="1" x14ac:dyDescent="0.2">
      <c r="E149" s="11"/>
      <c r="F149" s="11"/>
      <c r="G149" s="12"/>
      <c r="H149" s="12"/>
      <c r="I149" s="12"/>
      <c r="J149" s="12"/>
      <c r="K149" s="12"/>
      <c r="L149" s="12"/>
      <c r="M149" s="923"/>
      <c r="N149" s="924"/>
      <c r="O149" s="13"/>
      <c r="P149" s="12"/>
      <c r="Q149" s="12"/>
      <c r="R149" s="923"/>
      <c r="S149" s="924"/>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spans="1:40" s="10" customFormat="1" x14ac:dyDescent="0.2">
      <c r="A150" s="18" t="s">
        <v>1134</v>
      </c>
      <c r="E150" s="274"/>
      <c r="F150" s="11"/>
      <c r="G150" s="29"/>
      <c r="H150" s="194"/>
      <c r="I150" s="911">
        <f>'Elimination Entries to FST'!J151</f>
        <v>0</v>
      </c>
      <c r="J150" s="209">
        <f>SUM(G150:I150)</f>
        <v>0</v>
      </c>
      <c r="K150" s="12" t="e">
        <f>HLOOKUP($K$23,'HEI-PY FST $'!$A$1:$AB$257,123,FALSE)</f>
        <v>#N/A</v>
      </c>
      <c r="L150" s="12" t="e">
        <f>G150-K150</f>
        <v>#N/A</v>
      </c>
      <c r="M150" s="912" t="e">
        <f t="shared" si="17"/>
        <v>#N/A</v>
      </c>
      <c r="N150" s="915" t="e">
        <f>IF(OR((ABS(L150)&gt;19800000),AND(ABS(L150)&gt;9900000,ABS(M150)&gt;0.1)),"yes","-")</f>
        <v>#N/A</v>
      </c>
      <c r="O150" s="13"/>
      <c r="P150" s="12"/>
      <c r="Q150" s="209"/>
      <c r="R150" s="914"/>
      <c r="S150" s="9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spans="1:40" s="10" customFormat="1" x14ac:dyDescent="0.2">
      <c r="A151" s="18" t="s">
        <v>758</v>
      </c>
      <c r="E151" s="11"/>
      <c r="F151" s="11"/>
      <c r="G151" s="29"/>
      <c r="H151" s="194"/>
      <c r="I151" s="911">
        <f>'Elimination Entries to FST'!J152</f>
        <v>0</v>
      </c>
      <c r="J151" s="209">
        <f>SUM(G151:I151)</f>
        <v>0</v>
      </c>
      <c r="K151" s="12" t="e">
        <f>HLOOKUP($K$23,'HEI-PY FST $'!$A$1:$AB$257,124,FALSE)</f>
        <v>#N/A</v>
      </c>
      <c r="L151" s="12" t="e">
        <f>G151-K151</f>
        <v>#N/A</v>
      </c>
      <c r="M151" s="912" t="e">
        <f t="shared" si="17"/>
        <v>#N/A</v>
      </c>
      <c r="N151" s="915" t="e">
        <f>IF(OR((ABS(L151)&gt;19800000),AND(ABS(L151)&gt;9900000,ABS(M151)&gt;0.1)),"yes","-")</f>
        <v>#N/A</v>
      </c>
      <c r="O151" s="13"/>
      <c r="P151" s="12"/>
      <c r="Q151" s="209"/>
      <c r="R151" s="914"/>
      <c r="S151" s="9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spans="1:40" s="10" customFormat="1" x14ac:dyDescent="0.2">
      <c r="A152" s="18"/>
      <c r="E152" s="11"/>
      <c r="F152" s="11"/>
      <c r="G152" s="209"/>
      <c r="H152" s="209"/>
      <c r="I152" s="209"/>
      <c r="J152" s="209"/>
      <c r="K152" s="16"/>
      <c r="L152" s="16"/>
      <c r="M152" s="925"/>
      <c r="N152" s="913"/>
      <c r="O152" s="25"/>
      <c r="P152" s="16"/>
      <c r="Q152" s="209"/>
      <c r="R152" s="914"/>
      <c r="S152" s="913"/>
      <c r="T152" s="25"/>
      <c r="U152" s="25"/>
      <c r="V152" s="25"/>
      <c r="W152" s="25"/>
      <c r="X152" s="25"/>
      <c r="Y152" s="25"/>
      <c r="Z152" s="25"/>
      <c r="AA152" s="25"/>
      <c r="AB152" s="25"/>
      <c r="AC152" s="25"/>
      <c r="AD152" s="25"/>
      <c r="AE152" s="25"/>
      <c r="AF152" s="25"/>
      <c r="AG152" s="25"/>
      <c r="AH152" s="25"/>
      <c r="AI152" s="25"/>
      <c r="AJ152" s="25"/>
      <c r="AK152" s="25"/>
      <c r="AL152" s="25"/>
      <c r="AM152" s="25"/>
      <c r="AN152" s="25"/>
    </row>
    <row r="153" spans="1:40" s="10" customFormat="1" x14ac:dyDescent="0.2">
      <c r="A153" s="18" t="s">
        <v>345</v>
      </c>
      <c r="E153" s="2" t="s">
        <v>163</v>
      </c>
      <c r="F153" s="11"/>
      <c r="G153" s="29"/>
      <c r="H153" s="911">
        <f>'Combining FST'!Q79</f>
        <v>0</v>
      </c>
      <c r="I153" s="911">
        <f>'Elimination Entries to FST'!J154</f>
        <v>0</v>
      </c>
      <c r="J153" s="209">
        <f>SUM(G153:I153)</f>
        <v>0</v>
      </c>
      <c r="K153" s="12" t="e">
        <f>HLOOKUP($K$23,'HEI-PY FST $'!$A$1:$AB$257,126,FALSE)</f>
        <v>#N/A</v>
      </c>
      <c r="L153" s="12" t="e">
        <f>G153-K153</f>
        <v>#N/A</v>
      </c>
      <c r="M153" s="912" t="e">
        <f t="shared" si="17"/>
        <v>#N/A</v>
      </c>
      <c r="N153" s="915" t="e">
        <f>IF(OR((ABS(L153)&gt;19800000),AND(ABS(L153)&gt;9900000,ABS(M153)&gt;0.1)),"yes","-")</f>
        <v>#N/A</v>
      </c>
      <c r="O153" s="25"/>
      <c r="P153" s="12" t="e">
        <f>HLOOKUP($K$23,'Foundation-PY FST $'!$A$1:$AB$230,114,FALSE)</f>
        <v>#N/A</v>
      </c>
      <c r="Q153" s="12" t="e">
        <f>H153-P153</f>
        <v>#N/A</v>
      </c>
      <c r="R153" s="912" t="e">
        <f>IF(Q153=0,0,IF((AND(P153=0,H153&gt;0)),1,IF((AND(P153=0,H153&lt;0)),-1,Q153/ABS(P153))))</f>
        <v>#N/A</v>
      </c>
      <c r="S153" s="915" t="e">
        <f>IF(OR((ABS(Q153)&gt;19800000),AND(ABS(Q153)&gt;9900000,ABS(R153)&gt;0.1)),"yes","-")</f>
        <v>#N/A</v>
      </c>
      <c r="T153" s="25"/>
      <c r="U153" s="25"/>
      <c r="V153" s="25"/>
      <c r="W153" s="25"/>
      <c r="X153" s="25"/>
      <c r="Y153" s="25"/>
      <c r="Z153" s="25"/>
      <c r="AA153" s="25"/>
      <c r="AB153" s="25"/>
      <c r="AC153" s="25"/>
      <c r="AD153" s="25"/>
      <c r="AE153" s="25"/>
      <c r="AF153" s="25"/>
      <c r="AG153" s="25"/>
      <c r="AH153" s="25"/>
      <c r="AI153" s="25"/>
      <c r="AJ153" s="25"/>
      <c r="AK153" s="25"/>
      <c r="AL153" s="25"/>
      <c r="AM153" s="25"/>
      <c r="AN153" s="25"/>
    </row>
    <row r="154" spans="1:40" s="10" customFormat="1" x14ac:dyDescent="0.2">
      <c r="A154" s="18" t="s">
        <v>346</v>
      </c>
      <c r="E154" s="2" t="s">
        <v>163</v>
      </c>
      <c r="F154" s="11"/>
      <c r="G154" s="29"/>
      <c r="H154" s="911">
        <f>'Combining FST'!Q80</f>
        <v>0</v>
      </c>
      <c r="I154" s="911">
        <f>'Elimination Entries to FST'!J155</f>
        <v>0</v>
      </c>
      <c r="J154" s="209">
        <f>SUM(G154:I154)</f>
        <v>0</v>
      </c>
      <c r="K154" s="12" t="e">
        <f>HLOOKUP($K$23,'HEI-PY FST $'!$A$1:$AB$257,127,FALSE)</f>
        <v>#N/A</v>
      </c>
      <c r="L154" s="12" t="e">
        <f>G154-K154</f>
        <v>#N/A</v>
      </c>
      <c r="M154" s="912" t="e">
        <f t="shared" si="17"/>
        <v>#N/A</v>
      </c>
      <c r="N154" s="915" t="e">
        <f>IF(OR((ABS(L154)&gt;19800000),AND(ABS(L154)&gt;9900000,ABS(M154)&gt;0.1)),"yes","-")</f>
        <v>#N/A</v>
      </c>
      <c r="O154" s="25"/>
      <c r="P154" s="12" t="e">
        <f>HLOOKUP($K$23,'Foundation-PY FST $'!$A$1:$AB$230,115,FALSE)</f>
        <v>#N/A</v>
      </c>
      <c r="Q154" s="12" t="e">
        <f>H154-P154</f>
        <v>#N/A</v>
      </c>
      <c r="R154" s="912" t="e">
        <f>IF(Q154=0,0,IF((AND(P154=0,H154&gt;0)),1,IF((AND(P154=0,H154&lt;0)),-1,Q154/ABS(P154))))</f>
        <v>#N/A</v>
      </c>
      <c r="S154" s="915" t="e">
        <f>IF(OR((ABS(Q154)&gt;19800000),AND(ABS(Q154)&gt;9900000,ABS(R154)&gt;0.1)),"yes","-")</f>
        <v>#N/A</v>
      </c>
      <c r="T154" s="25"/>
      <c r="U154" s="25"/>
      <c r="V154" s="25"/>
      <c r="W154" s="25"/>
      <c r="X154" s="25"/>
      <c r="Y154" s="25"/>
      <c r="Z154" s="25"/>
      <c r="AA154" s="25"/>
      <c r="AB154" s="25"/>
      <c r="AC154" s="25"/>
      <c r="AD154" s="25"/>
      <c r="AE154" s="25"/>
      <c r="AF154" s="25"/>
      <c r="AG154" s="25"/>
      <c r="AH154" s="25"/>
      <c r="AI154" s="25"/>
      <c r="AJ154" s="25"/>
      <c r="AK154" s="25"/>
      <c r="AL154" s="25"/>
      <c r="AM154" s="25"/>
      <c r="AN154" s="25"/>
    </row>
    <row r="155" spans="1:40" s="10" customFormat="1" x14ac:dyDescent="0.2">
      <c r="E155" s="11"/>
      <c r="F155" s="11"/>
      <c r="G155" s="12"/>
      <c r="H155" s="12"/>
      <c r="I155" s="12"/>
      <c r="J155" s="12"/>
      <c r="K155" s="12"/>
      <c r="L155" s="12"/>
      <c r="M155" s="923"/>
      <c r="N155" s="924"/>
      <c r="O155" s="13"/>
      <c r="P155" s="12"/>
      <c r="Q155" s="12"/>
      <c r="R155" s="923"/>
      <c r="S155" s="924"/>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spans="1:40" s="10" customFormat="1" x14ac:dyDescent="0.2">
      <c r="A156" s="10" t="s">
        <v>633</v>
      </c>
      <c r="E156" s="11"/>
      <c r="F156" s="11"/>
      <c r="G156" s="12"/>
      <c r="H156" s="12"/>
      <c r="I156" s="12"/>
      <c r="J156" s="12"/>
      <c r="K156" s="12"/>
      <c r="L156" s="12"/>
      <c r="M156" s="923"/>
      <c r="N156" s="924"/>
      <c r="O156" s="13"/>
      <c r="P156" s="12"/>
      <c r="Q156" s="12"/>
      <c r="R156" s="923"/>
      <c r="S156" s="924"/>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spans="1:40" s="10" customFormat="1" x14ac:dyDescent="0.2">
      <c r="A157" s="10" t="s">
        <v>759</v>
      </c>
      <c r="E157" s="11"/>
      <c r="F157" s="11"/>
      <c r="G157" s="16"/>
      <c r="H157" s="16"/>
      <c r="I157" s="16"/>
      <c r="J157" s="16"/>
      <c r="K157" s="12"/>
      <c r="L157" s="12"/>
      <c r="M157" s="923"/>
      <c r="N157" s="924"/>
      <c r="O157" s="13"/>
      <c r="P157" s="12"/>
      <c r="Q157" s="12"/>
      <c r="R157" s="923"/>
      <c r="S157" s="924"/>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spans="1:40" s="10" customFormat="1" x14ac:dyDescent="0.2">
      <c r="B158" s="10" t="s">
        <v>817</v>
      </c>
      <c r="E158" s="11" t="s">
        <v>162</v>
      </c>
      <c r="F158" s="14"/>
      <c r="G158" s="29"/>
      <c r="H158" s="911">
        <f>'Combining FST'!Q84</f>
        <v>0</v>
      </c>
      <c r="I158" s="911">
        <f>'Elimination Entries to FST'!J159</f>
        <v>0</v>
      </c>
      <c r="J158" s="209">
        <f t="shared" ref="J158:J170" si="26">SUM(G158:I158)</f>
        <v>0</v>
      </c>
      <c r="K158" s="12" t="e">
        <f>HLOOKUP($K$23,'HEI-PY FST $'!$A$1:$AB$257,131,FALSE)</f>
        <v>#N/A</v>
      </c>
      <c r="L158" s="12" t="e">
        <f>G158-K158</f>
        <v>#N/A</v>
      </c>
      <c r="M158" s="912" t="e">
        <f t="shared" ref="M158:M171" si="27">IF(L158=0,0,IF((AND(K158=0,G158&gt;0)),1,IF((AND(K158=0,G158&lt;0)),-1,L158/ABS(K158))))</f>
        <v>#N/A</v>
      </c>
      <c r="N158" s="915" t="e">
        <f t="shared" ref="N158:N170" si="28">IF(OR((ABS(L158)&gt;19800000),AND(ABS(L158)&gt;9900000,ABS(M158)&gt;0.1)),"yes","-")</f>
        <v>#N/A</v>
      </c>
      <c r="O158" s="13"/>
      <c r="P158" s="12" t="e">
        <f>HLOOKUP($K$23,'Foundation-PY FST $'!$A$1:$AB$230,119,FALSE)</f>
        <v>#N/A</v>
      </c>
      <c r="Q158" s="12" t="e">
        <f t="shared" ref="Q158:Q170" si="29">H158-P158</f>
        <v>#N/A</v>
      </c>
      <c r="R158" s="912" t="e">
        <f t="shared" ref="R158:R171" si="30">IF(Q158=0,0,IF((AND(P158=0,H158&gt;0)),1,IF((AND(P158=0,H158&lt;0)),-1,Q158/ABS(P158))))</f>
        <v>#N/A</v>
      </c>
      <c r="S158" s="915" t="e">
        <f t="shared" ref="S158:S170" si="31">IF(OR((ABS(Q158)&gt;19800000),AND(ABS(Q158)&gt;9900000,ABS(R158)&gt;0.1)),"yes","-")</f>
        <v>#N/A</v>
      </c>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spans="1:40" s="10" customFormat="1" x14ac:dyDescent="0.2">
      <c r="B159" s="211" t="s">
        <v>1541</v>
      </c>
      <c r="E159" s="2" t="s">
        <v>1480</v>
      </c>
      <c r="F159" s="14"/>
      <c r="G159" s="29"/>
      <c r="H159" s="194"/>
      <c r="I159" s="911">
        <f>'Elimination Entries to FST'!J160</f>
        <v>0</v>
      </c>
      <c r="J159" s="209">
        <f>SUM(G159:I159)</f>
        <v>0</v>
      </c>
      <c r="K159" s="12" t="e">
        <f>HLOOKUP($K$23,'HEI-PY FST $'!$A$1:$AB$257,132,FALSE)</f>
        <v>#N/A</v>
      </c>
      <c r="L159" s="12" t="e">
        <f>G159-K159</f>
        <v>#N/A</v>
      </c>
      <c r="M159" s="912" t="e">
        <f t="shared" si="27"/>
        <v>#N/A</v>
      </c>
      <c r="N159" s="915" t="e">
        <f t="shared" si="28"/>
        <v>#N/A</v>
      </c>
      <c r="O159" s="13"/>
      <c r="P159" s="12">
        <v>0</v>
      </c>
      <c r="Q159" s="12">
        <f t="shared" si="29"/>
        <v>0</v>
      </c>
      <c r="R159" s="912">
        <f t="shared" si="30"/>
        <v>0</v>
      </c>
      <c r="S159" s="915" t="str">
        <f t="shared" si="31"/>
        <v>-</v>
      </c>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spans="1:40" s="10" customFormat="1" ht="24.75" customHeight="1" x14ac:dyDescent="0.2">
      <c r="B160" s="1171" t="s">
        <v>1586</v>
      </c>
      <c r="C160" s="1171"/>
      <c r="D160" s="1171"/>
      <c r="E160" s="2" t="s">
        <v>1661</v>
      </c>
      <c r="F160" s="14"/>
      <c r="G160" s="29"/>
      <c r="H160" s="194"/>
      <c r="I160" s="911">
        <f>'Elimination Entries to FST'!J161</f>
        <v>0</v>
      </c>
      <c r="J160" s="209">
        <f>SUM(G160:I160)</f>
        <v>0</v>
      </c>
      <c r="K160" s="12" t="e">
        <f>HLOOKUP($K$23,'HEI-PY FST $'!$A$1:$AB$257,133,FALSE)</f>
        <v>#N/A</v>
      </c>
      <c r="L160" s="12" t="e">
        <f t="shared" ref="L160:L161" si="32">G160-K160</f>
        <v>#N/A</v>
      </c>
      <c r="M160" s="912" t="e">
        <f t="shared" ref="M160:M161" si="33">IF(L160=0,0,IF((AND(K160=0,G160&gt;0)),1,IF((AND(K160=0,G160&lt;0)),-1,L160/ABS(K160))))</f>
        <v>#N/A</v>
      </c>
      <c r="N160" s="915" t="e">
        <f t="shared" si="28"/>
        <v>#N/A</v>
      </c>
      <c r="O160" s="13"/>
      <c r="P160" s="12">
        <v>0</v>
      </c>
      <c r="Q160" s="12">
        <f t="shared" ref="Q160:Q161" si="34">H160-P160</f>
        <v>0</v>
      </c>
      <c r="R160" s="912">
        <f t="shared" ref="R160:R161" si="35">IF(Q160=0,0,IF((AND(P160=0,H160&gt;0)),1,IF((AND(P160=0,H160&lt;0)),-1,Q160/ABS(P160))))</f>
        <v>0</v>
      </c>
      <c r="S160" s="915" t="str">
        <f t="shared" si="31"/>
        <v>-</v>
      </c>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spans="1:40" s="10" customFormat="1" ht="24.75" customHeight="1" x14ac:dyDescent="0.2">
      <c r="B161" s="1171" t="s">
        <v>1571</v>
      </c>
      <c r="C161" s="1171"/>
      <c r="D161" s="1171"/>
      <c r="E161" s="2" t="s">
        <v>1517</v>
      </c>
      <c r="F161" s="14"/>
      <c r="G161" s="29"/>
      <c r="H161" s="194"/>
      <c r="I161" s="911">
        <f>'Elimination Entries to FST'!J162</f>
        <v>0</v>
      </c>
      <c r="J161" s="209">
        <f>SUM(G161:I161)</f>
        <v>0</v>
      </c>
      <c r="K161" s="12" t="e">
        <f>HLOOKUP($K$23,'HEI-PY FST $'!$A$1:$AB$257,134,FALSE)</f>
        <v>#N/A</v>
      </c>
      <c r="L161" s="12" t="e">
        <f t="shared" si="32"/>
        <v>#N/A</v>
      </c>
      <c r="M161" s="912" t="e">
        <f t="shared" si="33"/>
        <v>#N/A</v>
      </c>
      <c r="N161" s="915" t="e">
        <f t="shared" si="28"/>
        <v>#N/A</v>
      </c>
      <c r="O161" s="13"/>
      <c r="P161" s="12">
        <v>0</v>
      </c>
      <c r="Q161" s="12">
        <f t="shared" si="34"/>
        <v>0</v>
      </c>
      <c r="R161" s="912">
        <f t="shared" si="35"/>
        <v>0</v>
      </c>
      <c r="S161" s="915" t="str">
        <f t="shared" si="31"/>
        <v>-</v>
      </c>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spans="1:40" s="10" customFormat="1" x14ac:dyDescent="0.2">
      <c r="B162" s="10" t="s">
        <v>751</v>
      </c>
      <c r="E162" s="11" t="s">
        <v>605</v>
      </c>
      <c r="F162" s="14"/>
      <c r="G162" s="29"/>
      <c r="H162" s="911">
        <f>'Combining FST'!Q86</f>
        <v>0</v>
      </c>
      <c r="I162" s="911">
        <f>'Elimination Entries to FST'!J163</f>
        <v>0</v>
      </c>
      <c r="J162" s="209">
        <f>SUM(G162:I162)</f>
        <v>0</v>
      </c>
      <c r="K162" s="12" t="e">
        <f>HLOOKUP($K$23,'HEI-PY FST $'!$A$1:$AB$257,135,FALSE)</f>
        <v>#N/A</v>
      </c>
      <c r="L162" s="12" t="e">
        <f t="shared" ref="L162" si="36">G162-K162</f>
        <v>#N/A</v>
      </c>
      <c r="M162" s="912" t="e">
        <f t="shared" ref="M162" si="37">IF(L162=0,0,IF((AND(K162=0,G162&gt;0)),1,IF((AND(K162=0,G162&lt;0)),-1,L162/ABS(K162))))</f>
        <v>#N/A</v>
      </c>
      <c r="N162" s="915" t="e">
        <f t="shared" si="28"/>
        <v>#N/A</v>
      </c>
      <c r="O162" s="13"/>
      <c r="P162" s="12" t="e">
        <f>HLOOKUP($K$23,'Foundation-PY FST $'!$A$1:$AB$230,121,FALSE)</f>
        <v>#N/A</v>
      </c>
      <c r="Q162" s="12" t="e">
        <f t="shared" ref="Q162" si="38">H162-P162</f>
        <v>#N/A</v>
      </c>
      <c r="R162" s="912" t="e">
        <f t="shared" ref="R162" si="39">IF(Q162=0,0,IF((AND(P162=0,H162&gt;0)),1,IF((AND(P162=0,H162&lt;0)),-1,Q162/ABS(P162))))</f>
        <v>#N/A</v>
      </c>
      <c r="S162" s="915" t="e">
        <f t="shared" si="31"/>
        <v>#N/A</v>
      </c>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spans="1:40" s="10" customFormat="1" x14ac:dyDescent="0.2">
      <c r="B163" s="10" t="s">
        <v>116</v>
      </c>
      <c r="E163" s="2" t="s">
        <v>1607</v>
      </c>
      <c r="F163" s="14"/>
      <c r="G163" s="29"/>
      <c r="H163" s="911">
        <f>'Combining FST'!Q87</f>
        <v>0</v>
      </c>
      <c r="I163" s="911">
        <f>'Elimination Entries to FST'!J164</f>
        <v>0</v>
      </c>
      <c r="J163" s="209">
        <f t="shared" si="26"/>
        <v>0</v>
      </c>
      <c r="K163" s="12" t="e">
        <f>HLOOKUP($K$23,'HEI-PY FST $'!$A$1:$AB$257,136,FALSE)</f>
        <v>#N/A</v>
      </c>
      <c r="L163" s="12" t="e">
        <f t="shared" ref="L163:L170" si="40">G163-K163</f>
        <v>#N/A</v>
      </c>
      <c r="M163" s="912" t="e">
        <f t="shared" si="27"/>
        <v>#N/A</v>
      </c>
      <c r="N163" s="915" t="e">
        <f t="shared" si="28"/>
        <v>#N/A</v>
      </c>
      <c r="O163" s="13"/>
      <c r="P163" s="12" t="e">
        <f>HLOOKUP($K$23,'Foundation-PY FST $'!$A$1:$AB$230,122,FALSE)</f>
        <v>#N/A</v>
      </c>
      <c r="Q163" s="12" t="e">
        <f t="shared" si="29"/>
        <v>#N/A</v>
      </c>
      <c r="R163" s="912" t="e">
        <f t="shared" si="30"/>
        <v>#N/A</v>
      </c>
      <c r="S163" s="915" t="e">
        <f t="shared" si="31"/>
        <v>#N/A</v>
      </c>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spans="1:40" s="10" customFormat="1" x14ac:dyDescent="0.2">
      <c r="B164" s="10" t="s">
        <v>816</v>
      </c>
      <c r="E164" s="11" t="s">
        <v>606</v>
      </c>
      <c r="F164" s="14"/>
      <c r="G164" s="29"/>
      <c r="H164" s="911">
        <f>'Combining FST'!Q88</f>
        <v>0</v>
      </c>
      <c r="I164" s="911">
        <f>'Elimination Entries to FST'!J165</f>
        <v>0</v>
      </c>
      <c r="J164" s="209">
        <f t="shared" si="26"/>
        <v>0</v>
      </c>
      <c r="K164" s="12" t="e">
        <f>HLOOKUP($K$23,'HEI-PY FST $'!$A$1:$AB$257,137,FALSE)</f>
        <v>#N/A</v>
      </c>
      <c r="L164" s="12" t="e">
        <f t="shared" si="40"/>
        <v>#N/A</v>
      </c>
      <c r="M164" s="912" t="e">
        <f t="shared" si="27"/>
        <v>#N/A</v>
      </c>
      <c r="N164" s="915" t="e">
        <f t="shared" si="28"/>
        <v>#N/A</v>
      </c>
      <c r="O164" s="13"/>
      <c r="P164" s="12" t="e">
        <f>HLOOKUP($K$23,'Foundation-PY FST $'!$A$1:$AB$230,123,FALSE)</f>
        <v>#N/A</v>
      </c>
      <c r="Q164" s="12" t="e">
        <f t="shared" si="29"/>
        <v>#N/A</v>
      </c>
      <c r="R164" s="912" t="e">
        <f t="shared" si="30"/>
        <v>#N/A</v>
      </c>
      <c r="S164" s="915" t="e">
        <f t="shared" si="31"/>
        <v>#N/A</v>
      </c>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spans="1:40" s="10" customFormat="1" x14ac:dyDescent="0.2">
      <c r="B165" s="10" t="s">
        <v>577</v>
      </c>
      <c r="E165" s="2" t="s">
        <v>968</v>
      </c>
      <c r="F165" s="14"/>
      <c r="G165" s="29"/>
      <c r="H165" s="911">
        <f>'Combining FST'!Q89</f>
        <v>0</v>
      </c>
      <c r="I165" s="911">
        <f>'Elimination Entries to FST'!J166</f>
        <v>0</v>
      </c>
      <c r="J165" s="209">
        <f>SUM(G165:I165)</f>
        <v>0</v>
      </c>
      <c r="K165" s="12" t="e">
        <f>HLOOKUP($K$23,'HEI-PY FST $'!$A$1:$AB$257,138,FALSE)</f>
        <v>#N/A</v>
      </c>
      <c r="L165" s="12" t="e">
        <f t="shared" si="40"/>
        <v>#N/A</v>
      </c>
      <c r="M165" s="912" t="e">
        <f t="shared" si="27"/>
        <v>#N/A</v>
      </c>
      <c r="N165" s="915" t="e">
        <f t="shared" si="28"/>
        <v>#N/A</v>
      </c>
      <c r="O165" s="13"/>
      <c r="P165" s="12" t="e">
        <f>HLOOKUP($K$23,'Foundation-PY FST $'!$A$1:$AB$230,124,FALSE)</f>
        <v>#N/A</v>
      </c>
      <c r="Q165" s="12" t="e">
        <f t="shared" si="29"/>
        <v>#N/A</v>
      </c>
      <c r="R165" s="912" t="e">
        <f t="shared" si="30"/>
        <v>#N/A</v>
      </c>
      <c r="S165" s="915" t="e">
        <f t="shared" si="31"/>
        <v>#N/A</v>
      </c>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spans="1:40" s="10" customFormat="1" x14ac:dyDescent="0.2">
      <c r="B166" s="211" t="s">
        <v>1603</v>
      </c>
      <c r="E166" s="2" t="s">
        <v>967</v>
      </c>
      <c r="F166" s="14"/>
      <c r="G166" s="29"/>
      <c r="H166" s="194"/>
      <c r="I166" s="911">
        <f>'Elimination Entries to FST'!H167</f>
        <v>0</v>
      </c>
      <c r="J166" s="209">
        <f>SUM(G166:I166)</f>
        <v>0</v>
      </c>
      <c r="K166" s="12" t="e">
        <f>HLOOKUP($K$23,'HEI-PY FST $'!$A$1:$AB$257,139,FALSE)</f>
        <v>#N/A</v>
      </c>
      <c r="L166" s="12" t="e">
        <f t="shared" si="40"/>
        <v>#N/A</v>
      </c>
      <c r="M166" s="912" t="e">
        <f>IF(L166=0,0,IF((AND(K166=0,G166&gt;0)),1,IF((AND(K166=0,G166&lt;0)),-1,L166/ABS(K166))))</f>
        <v>#N/A</v>
      </c>
      <c r="N166" s="915" t="e">
        <f t="shared" si="28"/>
        <v>#N/A</v>
      </c>
      <c r="O166" s="13"/>
      <c r="P166" s="12">
        <v>0</v>
      </c>
      <c r="Q166" s="12">
        <f>H166-P166</f>
        <v>0</v>
      </c>
      <c r="R166" s="912">
        <f>IF(Q166=0,0,IF((AND(P166=0,H166&gt;0)),1,IF((AND(P166=0,H166&lt;0)),-1,Q166/ABS(P166))))</f>
        <v>0</v>
      </c>
      <c r="S166" s="915" t="str">
        <f t="shared" si="31"/>
        <v>-</v>
      </c>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spans="1:40" s="10" customFormat="1" ht="27" customHeight="1" x14ac:dyDescent="0.2">
      <c r="B167" s="1171" t="s">
        <v>1374</v>
      </c>
      <c r="C167" s="1172"/>
      <c r="D167" s="1172"/>
      <c r="E167" s="895" t="s">
        <v>1386</v>
      </c>
      <c r="F167" s="14"/>
      <c r="G167" s="29"/>
      <c r="H167" s="194"/>
      <c r="I167" s="911">
        <f>'Elimination Entries to FST'!J168</f>
        <v>0</v>
      </c>
      <c r="J167" s="209">
        <f>SUM(G167:I167)</f>
        <v>0</v>
      </c>
      <c r="K167" s="12" t="e">
        <f>HLOOKUP($K$23,'HEI-PY FST $'!$A$1:$AB$257,140,FALSE)</f>
        <v>#N/A</v>
      </c>
      <c r="L167" s="12" t="e">
        <f t="shared" si="40"/>
        <v>#N/A</v>
      </c>
      <c r="M167" s="912" t="e">
        <f t="shared" si="27"/>
        <v>#N/A</v>
      </c>
      <c r="N167" s="915" t="e">
        <f t="shared" si="28"/>
        <v>#N/A</v>
      </c>
      <c r="O167" s="13"/>
      <c r="P167" s="12">
        <v>0</v>
      </c>
      <c r="Q167" s="12">
        <f t="shared" si="29"/>
        <v>0</v>
      </c>
      <c r="R167" s="912">
        <f t="shared" si="30"/>
        <v>0</v>
      </c>
      <c r="S167" s="915" t="str">
        <f t="shared" si="31"/>
        <v>-</v>
      </c>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spans="1:40" s="10" customFormat="1" ht="36" x14ac:dyDescent="0.2">
      <c r="B168" s="1171" t="s">
        <v>1375</v>
      </c>
      <c r="C168" s="1172"/>
      <c r="D168" s="1172"/>
      <c r="E168" s="895" t="s">
        <v>1387</v>
      </c>
      <c r="F168" s="14"/>
      <c r="G168" s="29"/>
      <c r="H168" s="194"/>
      <c r="I168" s="911">
        <f>'Elimination Entries to FST'!J169</f>
        <v>0</v>
      </c>
      <c r="J168" s="209">
        <f>SUM(G168:I168)</f>
        <v>0</v>
      </c>
      <c r="K168" s="12" t="e">
        <f>HLOOKUP($K$23,'HEI-PY FST $'!$A$1:$AB$257,141,FALSE)</f>
        <v>#N/A</v>
      </c>
      <c r="L168" s="12" t="e">
        <f>G168-K168</f>
        <v>#N/A</v>
      </c>
      <c r="M168" s="912" t="e">
        <f t="shared" si="27"/>
        <v>#N/A</v>
      </c>
      <c r="N168" s="915" t="e">
        <f t="shared" si="28"/>
        <v>#N/A</v>
      </c>
      <c r="O168" s="13"/>
      <c r="P168" s="12">
        <v>0</v>
      </c>
      <c r="Q168" s="12">
        <f t="shared" si="29"/>
        <v>0</v>
      </c>
      <c r="R168" s="912">
        <f t="shared" si="30"/>
        <v>0</v>
      </c>
      <c r="S168" s="915" t="str">
        <f t="shared" si="31"/>
        <v>-</v>
      </c>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spans="1:40" s="10" customFormat="1" x14ac:dyDescent="0.2">
      <c r="B169" s="10" t="s">
        <v>82</v>
      </c>
      <c r="E169" s="11" t="s">
        <v>163</v>
      </c>
      <c r="F169" s="14"/>
      <c r="G169" s="29"/>
      <c r="H169" s="911">
        <f>'Combining FST'!Q90</f>
        <v>0</v>
      </c>
      <c r="I169" s="911">
        <f>'Elimination Entries to FST'!J170</f>
        <v>0</v>
      </c>
      <c r="J169" s="209">
        <f t="shared" si="26"/>
        <v>0</v>
      </c>
      <c r="K169" s="12" t="e">
        <f>HLOOKUP($K$23,'HEI-PY FST $'!$A$1:$AB$257,142,FALSE)</f>
        <v>#N/A</v>
      </c>
      <c r="L169" s="12" t="e">
        <f>G169-K169</f>
        <v>#N/A</v>
      </c>
      <c r="M169" s="912" t="e">
        <f t="shared" si="27"/>
        <v>#N/A</v>
      </c>
      <c r="N169" s="915" t="e">
        <f t="shared" si="28"/>
        <v>#N/A</v>
      </c>
      <c r="O169" s="13"/>
      <c r="P169" s="12" t="e">
        <f>HLOOKUP($K$23,'Foundation-PY FST $'!$A$1:$AB$230,125,FALSE)</f>
        <v>#N/A</v>
      </c>
      <c r="Q169" s="12" t="e">
        <f t="shared" si="29"/>
        <v>#N/A</v>
      </c>
      <c r="R169" s="912" t="e">
        <f t="shared" si="30"/>
        <v>#N/A</v>
      </c>
      <c r="S169" s="915" t="e">
        <f t="shared" si="31"/>
        <v>#N/A</v>
      </c>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spans="1:40" s="10" customFormat="1" x14ac:dyDescent="0.2">
      <c r="B170" s="10" t="s">
        <v>760</v>
      </c>
      <c r="E170" s="11" t="s">
        <v>162</v>
      </c>
      <c r="F170" s="14"/>
      <c r="G170" s="29"/>
      <c r="H170" s="911">
        <f>'Combining FST'!Q91</f>
        <v>0</v>
      </c>
      <c r="I170" s="911">
        <f>'Elimination Entries to FST'!J171</f>
        <v>0</v>
      </c>
      <c r="J170" s="209">
        <f t="shared" si="26"/>
        <v>0</v>
      </c>
      <c r="K170" s="12" t="e">
        <f>HLOOKUP($K$23,'HEI-PY FST $'!$A$1:$AB$257,143,FALSE)</f>
        <v>#N/A</v>
      </c>
      <c r="L170" s="12" t="e">
        <f t="shared" si="40"/>
        <v>#N/A</v>
      </c>
      <c r="M170" s="912" t="e">
        <f t="shared" si="27"/>
        <v>#N/A</v>
      </c>
      <c r="N170" s="915" t="e">
        <f t="shared" si="28"/>
        <v>#N/A</v>
      </c>
      <c r="O170" s="13"/>
      <c r="P170" s="12" t="e">
        <f>HLOOKUP($K$23,'Foundation-PY FST $'!$A$1:$AB$230,126,FALSE)</f>
        <v>#N/A</v>
      </c>
      <c r="Q170" s="12" t="e">
        <f t="shared" si="29"/>
        <v>#N/A</v>
      </c>
      <c r="R170" s="912" t="e">
        <f t="shared" si="30"/>
        <v>#N/A</v>
      </c>
      <c r="S170" s="915" t="e">
        <f t="shared" si="31"/>
        <v>#N/A</v>
      </c>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spans="1:40" s="10" customFormat="1" x14ac:dyDescent="0.2">
      <c r="C171" s="18" t="s">
        <v>292</v>
      </c>
      <c r="E171" s="11"/>
      <c r="F171" s="11"/>
      <c r="G171" s="15">
        <f t="shared" ref="G171:L171" si="41">SUM(G158:G170)</f>
        <v>0</v>
      </c>
      <c r="H171" s="15">
        <f t="shared" si="41"/>
        <v>0</v>
      </c>
      <c r="I171" s="15">
        <f>SUM(I158:I170)</f>
        <v>0</v>
      </c>
      <c r="J171" s="15">
        <f t="shared" si="41"/>
        <v>0</v>
      </c>
      <c r="K171" s="15" t="e">
        <f t="shared" si="41"/>
        <v>#N/A</v>
      </c>
      <c r="L171" s="15" t="e">
        <f t="shared" si="41"/>
        <v>#N/A</v>
      </c>
      <c r="M171" s="921" t="e">
        <f t="shared" si="27"/>
        <v>#N/A</v>
      </c>
      <c r="N171" s="924"/>
      <c r="O171" s="13"/>
      <c r="P171" s="15" t="e">
        <f>SUM(P158:P170)</f>
        <v>#N/A</v>
      </c>
      <c r="Q171" s="15" t="e">
        <f>SUM(Q158:Q170)</f>
        <v>#N/A</v>
      </c>
      <c r="R171" s="921" t="e">
        <f t="shared" si="30"/>
        <v>#N/A</v>
      </c>
      <c r="S171" s="924"/>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spans="1:40" s="10" customFormat="1" x14ac:dyDescent="0.2">
      <c r="E172" s="11"/>
      <c r="F172" s="11"/>
      <c r="G172" s="12"/>
      <c r="H172" s="12"/>
      <c r="I172" s="12"/>
      <c r="J172" s="12"/>
      <c r="K172" s="12"/>
      <c r="L172" s="12"/>
      <c r="M172" s="923"/>
      <c r="N172" s="924"/>
      <c r="O172" s="13"/>
      <c r="P172" s="12"/>
      <c r="Q172" s="12"/>
      <c r="R172" s="923"/>
      <c r="S172" s="924"/>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spans="1:40" s="10" customFormat="1" x14ac:dyDescent="0.2">
      <c r="A173" s="10" t="s">
        <v>761</v>
      </c>
      <c r="E173" s="11"/>
      <c r="F173" s="11"/>
      <c r="G173" s="12"/>
      <c r="H173" s="12"/>
      <c r="I173" s="12"/>
      <c r="J173" s="12"/>
      <c r="K173" s="12"/>
      <c r="L173" s="12"/>
      <c r="M173" s="923"/>
      <c r="N173" s="924"/>
      <c r="O173" s="13"/>
      <c r="P173" s="12"/>
      <c r="Q173" s="12"/>
      <c r="R173" s="923"/>
      <c r="S173" s="924"/>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spans="1:40" s="10" customFormat="1" x14ac:dyDescent="0.2">
      <c r="B174" s="10" t="s">
        <v>578</v>
      </c>
      <c r="E174" s="11" t="s">
        <v>162</v>
      </c>
      <c r="F174" s="14"/>
      <c r="G174" s="29"/>
      <c r="H174" s="911">
        <f>'Combining FST'!Q95</f>
        <v>0</v>
      </c>
      <c r="I174" s="911">
        <f>'Elimination Entries to FST'!J175</f>
        <v>0</v>
      </c>
      <c r="J174" s="209">
        <f t="shared" ref="J174:J187" si="42">SUM(G174:I174)</f>
        <v>0</v>
      </c>
      <c r="K174" s="12" t="e">
        <f>HLOOKUP($K$23,'HEI-PY FST $'!$A$1:$AB$257,147,FALSE)</f>
        <v>#N/A</v>
      </c>
      <c r="L174" s="12" t="e">
        <f>G174-K174</f>
        <v>#N/A</v>
      </c>
      <c r="M174" s="912" t="e">
        <f>IF(L174=0,0,IF((AND(K174=0,G174&gt;0)),1,IF((AND(K174=0,G174&lt;0)),-1,L174/ABS(K174))))</f>
        <v>#N/A</v>
      </c>
      <c r="N174" s="915" t="e">
        <f t="shared" ref="N174:N187" si="43">IF(OR((ABS(L174)&gt;19800000),AND(ABS(L174)&gt;9900000,ABS(M174)&gt;0.1)),"yes","-")</f>
        <v>#N/A</v>
      </c>
      <c r="O174" s="13"/>
      <c r="P174" s="12" t="e">
        <f>HLOOKUP($K$23,'Foundation-PY FST $'!$A$1:$AB$230,130,FALSE)</f>
        <v>#N/A</v>
      </c>
      <c r="Q174" s="12" t="e">
        <f t="shared" ref="Q174:Q187" si="44">H174-P174</f>
        <v>#N/A</v>
      </c>
      <c r="R174" s="912" t="e">
        <f>IF(Q174=0,0,IF((AND(P174=0,H174&gt;0)),1,IF((AND(P174=0,H174&lt;0)),-1,Q174/ABS(P174))))</f>
        <v>#N/A</v>
      </c>
      <c r="S174" s="915" t="e">
        <f t="shared" ref="S174:S187" si="45">IF(OR((ABS(Q174)&gt;19800000),AND(ABS(Q174)&gt;9900000,ABS(R174)&gt;0.1)),"yes","-")</f>
        <v>#N/A</v>
      </c>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spans="1:40" s="10" customFormat="1" x14ac:dyDescent="0.2">
      <c r="B175" s="211" t="s">
        <v>1415</v>
      </c>
      <c r="E175" s="2" t="s">
        <v>1480</v>
      </c>
      <c r="F175" s="14"/>
      <c r="G175" s="29"/>
      <c r="H175" s="194"/>
      <c r="I175" s="911">
        <f>'Elimination Entries to FST'!J176</f>
        <v>0</v>
      </c>
      <c r="J175" s="209">
        <f>SUM(G175:I175)</f>
        <v>0</v>
      </c>
      <c r="K175" s="12" t="e">
        <f>HLOOKUP($K$23,'HEI-PY FST $'!$A$1:$AB$257,148,FALSE)</f>
        <v>#N/A</v>
      </c>
      <c r="L175" s="12" t="e">
        <f>G175-K175</f>
        <v>#N/A</v>
      </c>
      <c r="M175" s="912" t="e">
        <f>IF(L175=0,0,IF((AND(K175=0,G175&gt;0)),1,IF((AND(K175=0,G175&lt;0)),-1,L175/ABS(K175))))</f>
        <v>#N/A</v>
      </c>
      <c r="N175" s="915" t="e">
        <f t="shared" si="43"/>
        <v>#N/A</v>
      </c>
      <c r="O175" s="13"/>
      <c r="P175" s="12">
        <v>0</v>
      </c>
      <c r="Q175" s="12">
        <f>H175-P175</f>
        <v>0</v>
      </c>
      <c r="R175" s="912">
        <f t="shared" ref="R175:R188" si="46">IF(Q175=0,0,IF((AND(P175=0,H175&gt;0)),1,IF((AND(P175=0,H175&lt;0)),-1,Q175/ABS(P175))))</f>
        <v>0</v>
      </c>
      <c r="S175" s="915" t="str">
        <f t="shared" si="45"/>
        <v>-</v>
      </c>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spans="1:40" s="10" customFormat="1" ht="24.75" customHeight="1" x14ac:dyDescent="0.2">
      <c r="B176" s="1171" t="s">
        <v>1586</v>
      </c>
      <c r="C176" s="1171"/>
      <c r="D176" s="1171"/>
      <c r="E176" s="2" t="s">
        <v>1661</v>
      </c>
      <c r="F176" s="14"/>
      <c r="G176" s="29"/>
      <c r="H176" s="194"/>
      <c r="I176" s="911">
        <f>'Elimination Entries to FST'!J177</f>
        <v>0</v>
      </c>
      <c r="J176" s="209">
        <f>SUM(G176:I176)</f>
        <v>0</v>
      </c>
      <c r="K176" s="12" t="e">
        <f>HLOOKUP($K$23,'HEI-PY FST $'!$A$1:$AB$257,149,FALSE)</f>
        <v>#N/A</v>
      </c>
      <c r="L176" s="12" t="e">
        <f>G176-K176</f>
        <v>#N/A</v>
      </c>
      <c r="M176" s="912" t="e">
        <f>IF(L176=0,0,IF((AND(K176=0,G176&gt;0)),1,IF((AND(K176=0,G176&lt;0)),-1,L176/ABS(K176))))</f>
        <v>#N/A</v>
      </c>
      <c r="N176" s="915" t="e">
        <f t="shared" si="43"/>
        <v>#N/A</v>
      </c>
      <c r="O176" s="13"/>
      <c r="P176" s="12">
        <v>0</v>
      </c>
      <c r="Q176" s="12">
        <f>H176-P176</f>
        <v>0</v>
      </c>
      <c r="R176" s="912">
        <f t="shared" ref="R176" si="47">IF(Q176=0,0,IF((AND(P176=0,H176&gt;0)),1,IF((AND(P176=0,H176&lt;0)),-1,Q176/ABS(P176))))</f>
        <v>0</v>
      </c>
      <c r="S176" s="915" t="str">
        <f t="shared" si="45"/>
        <v>-</v>
      </c>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spans="1:40" s="10" customFormat="1" ht="25.5" customHeight="1" x14ac:dyDescent="0.2">
      <c r="B177" s="1171" t="s">
        <v>1571</v>
      </c>
      <c r="C177" s="1171"/>
      <c r="D177" s="1171"/>
      <c r="E177" s="2" t="s">
        <v>1517</v>
      </c>
      <c r="F177" s="14"/>
      <c r="G177" s="29"/>
      <c r="H177" s="194"/>
      <c r="I177" s="911">
        <f>'Elimination Entries to FST'!J178</f>
        <v>0</v>
      </c>
      <c r="J177" s="209">
        <f>SUM(G177:I177)</f>
        <v>0</v>
      </c>
      <c r="K177" s="12" t="e">
        <f>HLOOKUP($K$23,'HEI-PY FST $'!$A$1:$AB$257,150,FALSE)</f>
        <v>#N/A</v>
      </c>
      <c r="L177" s="12" t="e">
        <f>G177-K177</f>
        <v>#N/A</v>
      </c>
      <c r="M177" s="912" t="e">
        <f t="shared" ref="M177:M190" si="48">IF(L177=0,0,IF((AND(K177=0,G177&gt;0)),1,IF((AND(K177=0,G177&lt;0)),-1,L177/ABS(K177))))</f>
        <v>#N/A</v>
      </c>
      <c r="N177" s="915" t="e">
        <f t="shared" si="43"/>
        <v>#N/A</v>
      </c>
      <c r="O177" s="13"/>
      <c r="P177" s="12">
        <v>0</v>
      </c>
      <c r="Q177" s="12">
        <f t="shared" si="44"/>
        <v>0</v>
      </c>
      <c r="R177" s="912">
        <f t="shared" si="46"/>
        <v>0</v>
      </c>
      <c r="S177" s="915" t="str">
        <f t="shared" si="45"/>
        <v>-</v>
      </c>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spans="1:40" s="10" customFormat="1" x14ac:dyDescent="0.2">
      <c r="B178" s="10" t="s">
        <v>751</v>
      </c>
      <c r="E178" s="11" t="s">
        <v>605</v>
      </c>
      <c r="F178" s="14"/>
      <c r="G178" s="29"/>
      <c r="H178" s="911">
        <f>'Combining FST'!Q97</f>
        <v>0</v>
      </c>
      <c r="I178" s="911">
        <f>'Elimination Entries to FST'!J179</f>
        <v>0</v>
      </c>
      <c r="J178" s="209">
        <f t="shared" si="42"/>
        <v>0</v>
      </c>
      <c r="K178" s="12" t="e">
        <f>HLOOKUP($K$23,'HEI-PY FST $'!$A$1:$AB$257,151,FALSE)</f>
        <v>#N/A</v>
      </c>
      <c r="L178" s="12" t="e">
        <f t="shared" ref="L178:L187" si="49">G178-K178</f>
        <v>#N/A</v>
      </c>
      <c r="M178" s="912" t="e">
        <f t="shared" si="48"/>
        <v>#N/A</v>
      </c>
      <c r="N178" s="915" t="e">
        <f t="shared" si="43"/>
        <v>#N/A</v>
      </c>
      <c r="O178" s="13"/>
      <c r="P178" s="12" t="e">
        <f>HLOOKUP($K$23,'Foundation-PY FST $'!$A$1:$AB$230,132,FALSE)</f>
        <v>#N/A</v>
      </c>
      <c r="Q178" s="12" t="e">
        <f t="shared" si="44"/>
        <v>#N/A</v>
      </c>
      <c r="R178" s="912" t="e">
        <f t="shared" si="46"/>
        <v>#N/A</v>
      </c>
      <c r="S178" s="915" t="e">
        <f t="shared" si="45"/>
        <v>#N/A</v>
      </c>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spans="1:40" s="10" customFormat="1" x14ac:dyDescent="0.2">
      <c r="B179" s="10" t="s">
        <v>116</v>
      </c>
      <c r="E179" s="2" t="s">
        <v>1607</v>
      </c>
      <c r="F179" s="14"/>
      <c r="G179" s="29"/>
      <c r="H179" s="911">
        <f>'Combining FST'!Q98</f>
        <v>0</v>
      </c>
      <c r="I179" s="911">
        <f>'Elimination Entries to FST'!J180</f>
        <v>0</v>
      </c>
      <c r="J179" s="209">
        <f t="shared" si="42"/>
        <v>0</v>
      </c>
      <c r="K179" s="12" t="e">
        <f>HLOOKUP($K$23,'HEI-PY FST $'!$A$1:$AB$257,152,FALSE)</f>
        <v>#N/A</v>
      </c>
      <c r="L179" s="12" t="e">
        <f t="shared" si="49"/>
        <v>#N/A</v>
      </c>
      <c r="M179" s="912" t="e">
        <f t="shared" si="48"/>
        <v>#N/A</v>
      </c>
      <c r="N179" s="915" t="e">
        <f t="shared" si="43"/>
        <v>#N/A</v>
      </c>
      <c r="O179" s="13"/>
      <c r="P179" s="12" t="e">
        <f>HLOOKUP($K$23,'Foundation-PY FST $'!$A$1:$AB$230,133,FALSE)</f>
        <v>#N/A</v>
      </c>
      <c r="Q179" s="12" t="e">
        <f t="shared" si="44"/>
        <v>#N/A</v>
      </c>
      <c r="R179" s="912" t="e">
        <f t="shared" si="46"/>
        <v>#N/A</v>
      </c>
      <c r="S179" s="915" t="e">
        <f t="shared" si="45"/>
        <v>#N/A</v>
      </c>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spans="1:40" s="10" customFormat="1" x14ac:dyDescent="0.2">
      <c r="B180" s="10" t="s">
        <v>816</v>
      </c>
      <c r="E180" s="11" t="s">
        <v>606</v>
      </c>
      <c r="F180" s="14"/>
      <c r="G180" s="29"/>
      <c r="H180" s="911">
        <f>'Combining FST'!Q99</f>
        <v>0</v>
      </c>
      <c r="I180" s="911">
        <f>'Elimination Entries to FST'!J181</f>
        <v>0</v>
      </c>
      <c r="J180" s="209">
        <f t="shared" si="42"/>
        <v>0</v>
      </c>
      <c r="K180" s="12" t="e">
        <f>HLOOKUP($K$23,'HEI-PY FST $'!$A$1:$AB$257,153,FALSE)</f>
        <v>#N/A</v>
      </c>
      <c r="L180" s="12" t="e">
        <f t="shared" si="49"/>
        <v>#N/A</v>
      </c>
      <c r="M180" s="912" t="e">
        <f t="shared" si="48"/>
        <v>#N/A</v>
      </c>
      <c r="N180" s="915" t="e">
        <f t="shared" si="43"/>
        <v>#N/A</v>
      </c>
      <c r="O180" s="13"/>
      <c r="P180" s="12" t="e">
        <f>HLOOKUP($K$23,'Foundation-PY FST $'!$A$1:$AB$230,134,FALSE)</f>
        <v>#N/A</v>
      </c>
      <c r="Q180" s="12" t="e">
        <f t="shared" si="44"/>
        <v>#N/A</v>
      </c>
      <c r="R180" s="912" t="e">
        <f t="shared" si="46"/>
        <v>#N/A</v>
      </c>
      <c r="S180" s="915" t="e">
        <f t="shared" si="45"/>
        <v>#N/A</v>
      </c>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spans="1:40" s="10" customFormat="1" x14ac:dyDescent="0.2">
      <c r="B181" s="10" t="s">
        <v>716</v>
      </c>
      <c r="E181" s="2" t="s">
        <v>968</v>
      </c>
      <c r="F181" s="14"/>
      <c r="G181" s="29"/>
      <c r="H181" s="911">
        <f>'Combining FST'!Q100</f>
        <v>0</v>
      </c>
      <c r="I181" s="911">
        <f>'Elimination Entries to FST'!J182</f>
        <v>0</v>
      </c>
      <c r="J181" s="209">
        <f t="shared" si="42"/>
        <v>0</v>
      </c>
      <c r="K181" s="12" t="e">
        <f>HLOOKUP($K$23,'HEI-PY FST $'!$A$1:$AB$257,154,FALSE)</f>
        <v>#N/A</v>
      </c>
      <c r="L181" s="12" t="e">
        <f t="shared" si="49"/>
        <v>#N/A</v>
      </c>
      <c r="M181" s="912" t="e">
        <f t="shared" si="48"/>
        <v>#N/A</v>
      </c>
      <c r="N181" s="915" t="e">
        <f t="shared" si="43"/>
        <v>#N/A</v>
      </c>
      <c r="O181" s="13"/>
      <c r="P181" s="12" t="e">
        <f>HLOOKUP($K$23,'Foundation-PY FST $'!$A$1:$AB$230,135,FALSE)</f>
        <v>#N/A</v>
      </c>
      <c r="Q181" s="12" t="e">
        <f t="shared" si="44"/>
        <v>#N/A</v>
      </c>
      <c r="R181" s="912" t="e">
        <f t="shared" si="46"/>
        <v>#N/A</v>
      </c>
      <c r="S181" s="915" t="e">
        <f t="shared" si="45"/>
        <v>#N/A</v>
      </c>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spans="1:40" s="10" customFormat="1" x14ac:dyDescent="0.2">
      <c r="B182" s="211" t="s">
        <v>1605</v>
      </c>
      <c r="E182" s="2" t="s">
        <v>967</v>
      </c>
      <c r="F182" s="14"/>
      <c r="G182" s="29"/>
      <c r="H182" s="194"/>
      <c r="I182" s="911">
        <f>'Elimination Entries to FST'!H183</f>
        <v>0</v>
      </c>
      <c r="J182" s="209">
        <f t="shared" si="42"/>
        <v>0</v>
      </c>
      <c r="K182" s="12" t="e">
        <f>HLOOKUP($K$23,'HEI-PY FST $'!$A$1:$AB$257,155,FALSE)</f>
        <v>#N/A</v>
      </c>
      <c r="L182" s="12" t="e">
        <f t="shared" si="49"/>
        <v>#N/A</v>
      </c>
      <c r="M182" s="912" t="e">
        <f t="shared" si="48"/>
        <v>#N/A</v>
      </c>
      <c r="N182" s="915" t="e">
        <f t="shared" si="43"/>
        <v>#N/A</v>
      </c>
      <c r="O182" s="13"/>
      <c r="P182" s="12">
        <v>0</v>
      </c>
      <c r="Q182" s="12">
        <f t="shared" si="44"/>
        <v>0</v>
      </c>
      <c r="R182" s="912">
        <f t="shared" si="46"/>
        <v>0</v>
      </c>
      <c r="S182" s="915" t="str">
        <f t="shared" si="45"/>
        <v>-</v>
      </c>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spans="1:40" s="10" customFormat="1" ht="24" x14ac:dyDescent="0.2">
      <c r="B183" s="211" t="s">
        <v>1380</v>
      </c>
      <c r="E183" s="895" t="s">
        <v>1314</v>
      </c>
      <c r="F183" s="14"/>
      <c r="G183" s="29"/>
      <c r="H183" s="194"/>
      <c r="I183" s="911">
        <f>'Elimination Entries to FST'!J184</f>
        <v>0</v>
      </c>
      <c r="J183" s="209">
        <f t="shared" si="42"/>
        <v>0</v>
      </c>
      <c r="K183" s="12" t="e">
        <f>HLOOKUP($K$23,'HEI-PY FST $'!$A$1:$AB$257,156,FALSE)</f>
        <v>#N/A</v>
      </c>
      <c r="L183" s="12" t="e">
        <f t="shared" si="49"/>
        <v>#N/A</v>
      </c>
      <c r="M183" s="912" t="e">
        <f t="shared" si="48"/>
        <v>#N/A</v>
      </c>
      <c r="N183" s="915" t="e">
        <f t="shared" si="43"/>
        <v>#N/A</v>
      </c>
      <c r="O183" s="13"/>
      <c r="P183" s="12">
        <v>0</v>
      </c>
      <c r="Q183" s="12">
        <f t="shared" si="44"/>
        <v>0</v>
      </c>
      <c r="R183" s="912">
        <f t="shared" si="46"/>
        <v>0</v>
      </c>
      <c r="S183" s="915" t="str">
        <f t="shared" si="45"/>
        <v>-</v>
      </c>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spans="1:40" s="10" customFormat="1" ht="27" customHeight="1" x14ac:dyDescent="0.2">
      <c r="B184" s="1171" t="s">
        <v>1374</v>
      </c>
      <c r="C184" s="1172"/>
      <c r="D184" s="1172"/>
      <c r="E184" s="895" t="s">
        <v>1386</v>
      </c>
      <c r="F184" s="14"/>
      <c r="G184" s="29"/>
      <c r="H184" s="194"/>
      <c r="I184" s="911">
        <f>'Elimination Entries to FST'!J185</f>
        <v>0</v>
      </c>
      <c r="J184" s="209">
        <f t="shared" si="42"/>
        <v>0</v>
      </c>
      <c r="K184" s="12" t="e">
        <f>HLOOKUP($K$23,'HEI-PY FST $'!$A$1:$AB$257,157,FALSE)</f>
        <v>#N/A</v>
      </c>
      <c r="L184" s="12" t="e">
        <f>G184-K184</f>
        <v>#N/A</v>
      </c>
      <c r="M184" s="912" t="e">
        <f t="shared" si="48"/>
        <v>#N/A</v>
      </c>
      <c r="N184" s="915" t="e">
        <f t="shared" si="43"/>
        <v>#N/A</v>
      </c>
      <c r="O184" s="13"/>
      <c r="P184" s="12">
        <v>0</v>
      </c>
      <c r="Q184" s="12">
        <f>H184-P184</f>
        <v>0</v>
      </c>
      <c r="R184" s="912">
        <f t="shared" si="46"/>
        <v>0</v>
      </c>
      <c r="S184" s="915" t="str">
        <f t="shared" si="45"/>
        <v>-</v>
      </c>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spans="1:40" s="10" customFormat="1" ht="27" customHeight="1" x14ac:dyDescent="0.2">
      <c r="B185" s="1171" t="s">
        <v>1375</v>
      </c>
      <c r="C185" s="1172"/>
      <c r="D185" s="1172"/>
      <c r="E185" s="895" t="s">
        <v>1387</v>
      </c>
      <c r="F185" s="14"/>
      <c r="G185" s="29"/>
      <c r="H185" s="194"/>
      <c r="I185" s="911">
        <f>'Elimination Entries to FST'!J186</f>
        <v>0</v>
      </c>
      <c r="J185" s="209">
        <f t="shared" si="42"/>
        <v>0</v>
      </c>
      <c r="K185" s="12" t="e">
        <f>HLOOKUP($K$23,'HEI-PY FST $'!$A$1:$AB$257,158,FALSE)</f>
        <v>#N/A</v>
      </c>
      <c r="L185" s="12" t="e">
        <f>G185-K185</f>
        <v>#N/A</v>
      </c>
      <c r="M185" s="912" t="e">
        <f t="shared" si="48"/>
        <v>#N/A</v>
      </c>
      <c r="N185" s="915" t="e">
        <f t="shared" si="43"/>
        <v>#N/A</v>
      </c>
      <c r="O185" s="13"/>
      <c r="P185" s="12">
        <v>0</v>
      </c>
      <c r="Q185" s="12">
        <v>0</v>
      </c>
      <c r="R185" s="912">
        <f t="shared" si="46"/>
        <v>0</v>
      </c>
      <c r="S185" s="915" t="str">
        <f t="shared" si="45"/>
        <v>-</v>
      </c>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spans="1:40" s="10" customFormat="1" x14ac:dyDescent="0.2">
      <c r="B186" s="10" t="s">
        <v>82</v>
      </c>
      <c r="E186" s="11" t="s">
        <v>163</v>
      </c>
      <c r="F186" s="14"/>
      <c r="G186" s="29"/>
      <c r="H186" s="911">
        <f>'Combining FST'!Q103</f>
        <v>0</v>
      </c>
      <c r="I186" s="911">
        <f>'Elimination Entries to FST'!J187</f>
        <v>0</v>
      </c>
      <c r="J186" s="209">
        <f t="shared" si="42"/>
        <v>0</v>
      </c>
      <c r="K186" s="12" t="e">
        <f>HLOOKUP($K$23,'HEI-PY FST $'!$A$1:$AB$257,159,FALSE)</f>
        <v>#N/A</v>
      </c>
      <c r="L186" s="12" t="e">
        <f t="shared" si="49"/>
        <v>#N/A</v>
      </c>
      <c r="M186" s="912" t="e">
        <f t="shared" si="48"/>
        <v>#N/A</v>
      </c>
      <c r="N186" s="915" t="e">
        <f t="shared" si="43"/>
        <v>#N/A</v>
      </c>
      <c r="O186" s="13"/>
      <c r="P186" s="12" t="e">
        <f>HLOOKUP($K$23,'Foundation-PY FST $'!$A$1:$AB$230,138,FALSE)</f>
        <v>#N/A</v>
      </c>
      <c r="Q186" s="12" t="e">
        <f t="shared" si="44"/>
        <v>#N/A</v>
      </c>
      <c r="R186" s="912" t="e">
        <f t="shared" si="46"/>
        <v>#N/A</v>
      </c>
      <c r="S186" s="915" t="e">
        <f t="shared" si="45"/>
        <v>#N/A</v>
      </c>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spans="1:40" s="10" customFormat="1" x14ac:dyDescent="0.2">
      <c r="B187" s="10" t="s">
        <v>760</v>
      </c>
      <c r="E187" s="11" t="s">
        <v>162</v>
      </c>
      <c r="F187" s="14"/>
      <c r="G187" s="29"/>
      <c r="H187" s="911">
        <f>'Combining FST'!Q104</f>
        <v>0</v>
      </c>
      <c r="I187" s="911">
        <f>'Elimination Entries to FST'!J188</f>
        <v>0</v>
      </c>
      <c r="J187" s="209">
        <f t="shared" si="42"/>
        <v>0</v>
      </c>
      <c r="K187" s="12" t="e">
        <f>HLOOKUP($K$23,'HEI-PY FST $'!$A$1:$AB$257,160,FALSE)</f>
        <v>#N/A</v>
      </c>
      <c r="L187" s="12" t="e">
        <f t="shared" si="49"/>
        <v>#N/A</v>
      </c>
      <c r="M187" s="912" t="e">
        <f t="shared" si="48"/>
        <v>#N/A</v>
      </c>
      <c r="N187" s="915" t="e">
        <f t="shared" si="43"/>
        <v>#N/A</v>
      </c>
      <c r="O187" s="13"/>
      <c r="P187" s="12" t="e">
        <f>HLOOKUP($K$23,'Foundation-PY FST $'!$A$1:$AB$230,139,FALSE)</f>
        <v>#N/A</v>
      </c>
      <c r="Q187" s="12" t="e">
        <f t="shared" si="44"/>
        <v>#N/A</v>
      </c>
      <c r="R187" s="912" t="e">
        <f t="shared" si="46"/>
        <v>#N/A</v>
      </c>
      <c r="S187" s="915" t="e">
        <f t="shared" si="45"/>
        <v>#N/A</v>
      </c>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spans="1:40" s="10" customFormat="1" x14ac:dyDescent="0.2">
      <c r="C188" s="18" t="s">
        <v>291</v>
      </c>
      <c r="E188" s="11"/>
      <c r="F188" s="11"/>
      <c r="G188" s="15">
        <f>SUM(G174:G187)</f>
        <v>0</v>
      </c>
      <c r="H188" s="15">
        <f>SUM(H174:H187)</f>
        <v>0</v>
      </c>
      <c r="I188" s="15">
        <f t="shared" ref="I188:L188" si="50">SUM(I174:I187)</f>
        <v>0</v>
      </c>
      <c r="J188" s="15">
        <f t="shared" si="50"/>
        <v>0</v>
      </c>
      <c r="K188" s="15" t="e">
        <f>SUM(K174:K187)</f>
        <v>#N/A</v>
      </c>
      <c r="L188" s="15" t="e">
        <f t="shared" si="50"/>
        <v>#N/A</v>
      </c>
      <c r="M188" s="921" t="e">
        <f t="shared" si="48"/>
        <v>#N/A</v>
      </c>
      <c r="N188" s="924"/>
      <c r="O188" s="13"/>
      <c r="P188" s="15" t="e">
        <f>SUM(P174:P187)</f>
        <v>#N/A</v>
      </c>
      <c r="Q188" s="15" t="e">
        <f>SUM(Q174:Q187)</f>
        <v>#N/A</v>
      </c>
      <c r="R188" s="921" t="e">
        <f t="shared" si="46"/>
        <v>#N/A</v>
      </c>
      <c r="S188" s="924"/>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spans="1:40" s="10" customFormat="1" x14ac:dyDescent="0.2">
      <c r="E189" s="11"/>
      <c r="F189" s="11"/>
      <c r="G189" s="12"/>
      <c r="H189" s="12"/>
      <c r="I189" s="12"/>
      <c r="J189" s="12"/>
      <c r="K189" s="12"/>
      <c r="L189" s="12"/>
      <c r="M189" s="938"/>
      <c r="N189" s="924"/>
      <c r="O189" s="13"/>
      <c r="P189" s="12"/>
      <c r="Q189" s="12"/>
      <c r="R189" s="923"/>
      <c r="S189" s="924"/>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spans="1:40" s="10" customFormat="1" x14ac:dyDescent="0.2">
      <c r="D190" s="10" t="s">
        <v>491</v>
      </c>
      <c r="E190" s="11"/>
      <c r="F190" s="11"/>
      <c r="G190" s="15">
        <f>SUM(G132,G134:G141,G148,G150:G151,G153:G154,G171,G188)</f>
        <v>0</v>
      </c>
      <c r="H190" s="15">
        <f>SUM(H132,H134:H141,H148,H150:H151,H153:H154,H171,H188)</f>
        <v>0</v>
      </c>
      <c r="I190" s="15">
        <f t="shared" ref="I190:L190" si="51">SUM(I132,I134:I141,I148,I150:I151,I153:I154,I171,I188)</f>
        <v>0</v>
      </c>
      <c r="J190" s="15">
        <f t="shared" si="51"/>
        <v>0</v>
      </c>
      <c r="K190" s="15" t="e">
        <f t="shared" si="51"/>
        <v>#N/A</v>
      </c>
      <c r="L190" s="15" t="e">
        <f t="shared" si="51"/>
        <v>#N/A</v>
      </c>
      <c r="M190" s="939" t="e">
        <f t="shared" si="48"/>
        <v>#N/A</v>
      </c>
      <c r="N190" s="924"/>
      <c r="O190" s="13"/>
      <c r="P190" s="15" t="e">
        <f>SUM(P132,P134:P141,P148,P150:P151,P153:P154,P171,P188)</f>
        <v>#N/A</v>
      </c>
      <c r="Q190" s="15" t="e">
        <f>SUM(Q132,Q134:Q141,Q148,Q150:Q151,Q153:Q154,Q171,Q188)</f>
        <v>#N/A</v>
      </c>
      <c r="R190" s="921" t="e">
        <f>IF(Q190=0,0,IF((AND(P190=0,H190&gt;0)),1,IF((AND(P190=0,H190&lt;0)),-1,Q190/ABS(P190))))</f>
        <v>#N/A</v>
      </c>
      <c r="S190" s="924"/>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spans="1:40" s="10" customFormat="1" ht="57.75" customHeight="1" x14ac:dyDescent="0.2">
      <c r="A191" s="1169"/>
      <c r="B191" s="1170"/>
      <c r="C191" s="1170"/>
      <c r="D191" s="1170"/>
      <c r="E191" s="1170"/>
      <c r="F191" s="11"/>
      <c r="G191" s="17"/>
      <c r="H191" s="17"/>
      <c r="I191" s="17"/>
      <c r="J191" s="17"/>
      <c r="K191" s="17"/>
      <c r="L191" s="17"/>
      <c r="M191" s="931"/>
      <c r="N191" s="924"/>
      <c r="O191" s="13"/>
      <c r="P191" s="17"/>
      <c r="Q191" s="17"/>
      <c r="R191" s="931"/>
      <c r="S191" s="924"/>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spans="1:40" s="10" customFormat="1" x14ac:dyDescent="0.2">
      <c r="A192" s="1" t="s">
        <v>852</v>
      </c>
      <c r="E192" s="2" t="s">
        <v>1684</v>
      </c>
      <c r="F192" s="11"/>
      <c r="G192" s="29"/>
      <c r="H192" s="194"/>
      <c r="I192" s="911">
        <f>'Elimination Entries to FST'!J193</f>
        <v>0</v>
      </c>
      <c r="J192" s="209">
        <f>SUM(G192:I192)</f>
        <v>0</v>
      </c>
      <c r="K192" s="12" t="e">
        <f>HLOOKUP($K$23,'HEI-PY FST $'!$A$1:$AB$257,165,FALSE)</f>
        <v>#N/A</v>
      </c>
      <c r="L192" s="12" t="e">
        <f>G192-K192</f>
        <v>#N/A</v>
      </c>
      <c r="M192" s="912" t="e">
        <f>IF(L192=0,0,IF((AND(K192=0,G192&gt;0)),1,IF((AND(K192=0,G192&lt;0)),-1,L192/ABS(K192))))</f>
        <v>#N/A</v>
      </c>
      <c r="N192" s="915" t="e">
        <f>IF(OR((ABS(L192)&gt;19800000),AND(ABS(L192)&gt;9900000,ABS(M192)&gt;0.1)),"yes","-")</f>
        <v>#N/A</v>
      </c>
      <c r="O192" s="13"/>
      <c r="P192" s="12"/>
      <c r="Q192" s="12"/>
      <c r="R192" s="912"/>
      <c r="S192" s="9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spans="1:40" s="10" customFormat="1" x14ac:dyDescent="0.2">
      <c r="E193" s="11"/>
      <c r="F193" s="11"/>
      <c r="G193" s="17"/>
      <c r="H193" s="17"/>
      <c r="I193" s="17"/>
      <c r="J193" s="17"/>
      <c r="K193" s="17"/>
      <c r="L193" s="17"/>
      <c r="M193" s="939"/>
      <c r="N193" s="924"/>
      <c r="O193" s="13"/>
      <c r="P193" s="17"/>
      <c r="Q193" s="17"/>
      <c r="R193" s="931"/>
      <c r="S193" s="924"/>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spans="1:40" s="10" customFormat="1" x14ac:dyDescent="0.2">
      <c r="D194" s="211" t="s">
        <v>893</v>
      </c>
      <c r="E194" s="11"/>
      <c r="F194" s="11"/>
      <c r="G194" s="15">
        <f t="shared" ref="G194:L194" si="52">SUM(G190,G192)</f>
        <v>0</v>
      </c>
      <c r="H194" s="15">
        <f t="shared" si="52"/>
        <v>0</v>
      </c>
      <c r="I194" s="15">
        <f t="shared" si="52"/>
        <v>0</v>
      </c>
      <c r="J194" s="15">
        <f t="shared" si="52"/>
        <v>0</v>
      </c>
      <c r="K194" s="15" t="e">
        <f>SUM(K190,K192)</f>
        <v>#N/A</v>
      </c>
      <c r="L194" s="15" t="e">
        <f t="shared" si="52"/>
        <v>#N/A</v>
      </c>
      <c r="M194" s="939" t="e">
        <f>IF(L194=0,0,IF((AND(K194=0,G194&gt;0)),1,IF((AND(K194=0,G194&lt;0)),-1,L194/ABS(K194))))</f>
        <v>#N/A</v>
      </c>
      <c r="N194" s="924"/>
      <c r="O194" s="13"/>
      <c r="P194" s="15" t="e">
        <f>SUM(P190,P192)</f>
        <v>#N/A</v>
      </c>
      <c r="Q194" s="15" t="e">
        <f>SUM(Q190,Q192)</f>
        <v>#N/A</v>
      </c>
      <c r="R194" s="921" t="e">
        <f>IF(Q194=0,0,IF((AND(P194=0,H194&gt;0)),1,IF((AND(P194=0,H194&lt;0)),-1,Q194/ABS(P194))))</f>
        <v>#N/A</v>
      </c>
      <c r="S194" s="924"/>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spans="1:40" s="10" customFormat="1" x14ac:dyDescent="0.2">
      <c r="E195" s="11"/>
      <c r="F195" s="11"/>
      <c r="G195" s="12"/>
      <c r="H195" s="12"/>
      <c r="I195" s="12"/>
      <c r="J195" s="12"/>
      <c r="K195" s="12"/>
      <c r="L195" s="12"/>
      <c r="M195" s="923"/>
      <c r="N195" s="924"/>
      <c r="O195" s="13"/>
      <c r="P195" s="12"/>
      <c r="Q195" s="12"/>
      <c r="R195" s="923"/>
      <c r="S195" s="924"/>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spans="1:40" s="10" customFormat="1" x14ac:dyDescent="0.2">
      <c r="A196" s="1" t="s">
        <v>854</v>
      </c>
      <c r="E196" s="11"/>
      <c r="F196" s="11"/>
      <c r="G196" s="12"/>
      <c r="H196" s="12"/>
      <c r="I196" s="12"/>
      <c r="J196" s="12"/>
      <c r="K196" s="12"/>
      <c r="L196" s="12"/>
      <c r="M196" s="923"/>
      <c r="N196" s="924"/>
      <c r="O196" s="13"/>
      <c r="P196" s="12"/>
      <c r="Q196" s="12"/>
      <c r="R196" s="923"/>
      <c r="S196" s="924"/>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spans="1:40" s="10" customFormat="1" x14ac:dyDescent="0.2">
      <c r="A197" s="18" t="s">
        <v>853</v>
      </c>
      <c r="E197" s="11" t="s">
        <v>608</v>
      </c>
      <c r="F197" s="11"/>
      <c r="G197" s="29"/>
      <c r="H197" s="911">
        <f>'Combining FST'!Q110</f>
        <v>0</v>
      </c>
      <c r="I197" s="911">
        <f>'Elimination Entries to FST'!J198</f>
        <v>0</v>
      </c>
      <c r="J197" s="209">
        <f>SUM(G197:I197)</f>
        <v>0</v>
      </c>
      <c r="K197" s="12" t="e">
        <f>HLOOKUP($K$23,'HEI-PY FST $'!$A$1:$AB$257,170,FALSE)</f>
        <v>#N/A</v>
      </c>
      <c r="L197" s="12" t="e">
        <f>G197-K197</f>
        <v>#N/A</v>
      </c>
      <c r="M197" s="912" t="e">
        <f>IF(L197=0,0,IF((AND(K197=0,G197&gt;0)),1,IF((AND(K197=0,G197&lt;0)),-1,L197/ABS(K197))))</f>
        <v>#N/A</v>
      </c>
      <c r="N197" s="915" t="e">
        <f>IF(OR((ABS(L197)&gt;19800000),AND(ABS(L197)&gt;9900000,ABS(M197)&gt;0.1)),"yes","-")</f>
        <v>#N/A</v>
      </c>
      <c r="O197" s="13"/>
      <c r="P197" s="12" t="e">
        <f>HLOOKUP($K$23,'Foundation-PY FST $'!$A$1:$AB$230,145,FALSE)</f>
        <v>#N/A</v>
      </c>
      <c r="Q197" s="12" t="e">
        <f>H197-P197</f>
        <v>#N/A</v>
      </c>
      <c r="R197" s="912" t="e">
        <f>IF(Q197=0,0,IF((AND(P197=0,H197&gt;0)),1,IF((AND(P197=0,H197&lt;0)),-1,Q197/ABS(P197))))</f>
        <v>#N/A</v>
      </c>
      <c r="S197" s="915" t="e">
        <f>IF(OR((ABS(Q197)&gt;19800000),AND(ABS(Q197)&gt;9900000,ABS(R197)&gt;0.1)),"yes","-")</f>
        <v>#N/A</v>
      </c>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spans="1:40" s="10" customFormat="1" x14ac:dyDescent="0.2">
      <c r="A198" s="10" t="s">
        <v>762</v>
      </c>
      <c r="E198" s="11"/>
      <c r="F198" s="11"/>
      <c r="G198" s="12"/>
      <c r="H198" s="12"/>
      <c r="I198" s="12"/>
      <c r="J198" s="12"/>
      <c r="K198" s="12"/>
      <c r="L198" s="12"/>
      <c r="M198" s="923"/>
      <c r="N198" s="924"/>
      <c r="O198" s="13"/>
      <c r="P198" s="12"/>
      <c r="Q198" s="12"/>
      <c r="R198" s="923"/>
      <c r="S198" s="924"/>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spans="1:40" s="10" customFormat="1" x14ac:dyDescent="0.2">
      <c r="B199" s="10" t="s">
        <v>763</v>
      </c>
      <c r="E199" s="11"/>
      <c r="F199" s="11"/>
      <c r="G199" s="16"/>
      <c r="H199" s="16"/>
      <c r="I199" s="16"/>
      <c r="J199" s="16"/>
      <c r="K199" s="12"/>
      <c r="L199" s="12"/>
      <c r="M199" s="912"/>
      <c r="N199" s="924"/>
      <c r="O199" s="13"/>
      <c r="P199" s="12"/>
      <c r="Q199" s="12"/>
      <c r="R199" s="912"/>
      <c r="S199" s="924"/>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spans="1:40" s="10" customFormat="1" hidden="1" x14ac:dyDescent="0.2">
      <c r="C200" s="10" t="s">
        <v>169</v>
      </c>
      <c r="E200" s="11"/>
      <c r="F200" s="11"/>
      <c r="G200" s="16"/>
      <c r="H200" s="16"/>
      <c r="I200" s="16"/>
      <c r="J200" s="16"/>
      <c r="K200" s="12"/>
      <c r="L200" s="12"/>
      <c r="M200" s="912"/>
      <c r="N200" s="913"/>
      <c r="O200" s="13"/>
      <c r="P200" s="12"/>
      <c r="Q200" s="209"/>
      <c r="R200" s="914"/>
      <c r="S200" s="9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spans="1:40" s="10" customFormat="1" hidden="1" x14ac:dyDescent="0.2">
      <c r="C201" s="10" t="s">
        <v>164</v>
      </c>
      <c r="E201" s="11"/>
      <c r="F201" s="11"/>
      <c r="G201" s="16"/>
      <c r="H201" s="16"/>
      <c r="I201" s="16"/>
      <c r="J201" s="16"/>
      <c r="K201" s="12"/>
      <c r="L201" s="12"/>
      <c r="M201" s="912"/>
      <c r="N201" s="913"/>
      <c r="O201" s="13"/>
      <c r="P201" s="12"/>
      <c r="Q201" s="209"/>
      <c r="R201" s="914"/>
      <c r="S201" s="9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spans="1:40" s="10" customFormat="1" hidden="1" x14ac:dyDescent="0.2">
      <c r="C202" s="10" t="s">
        <v>165</v>
      </c>
      <c r="E202" s="11"/>
      <c r="F202" s="11"/>
      <c r="G202" s="16"/>
      <c r="H202" s="16"/>
      <c r="I202" s="16"/>
      <c r="J202" s="16"/>
      <c r="K202" s="12"/>
      <c r="L202" s="12"/>
      <c r="M202" s="912"/>
      <c r="N202" s="913"/>
      <c r="O202" s="13"/>
      <c r="P202" s="12"/>
      <c r="Q202" s="209"/>
      <c r="R202" s="914"/>
      <c r="S202" s="9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spans="1:40" s="10" customFormat="1" hidden="1" x14ac:dyDescent="0.2">
      <c r="C203" s="10" t="s">
        <v>166</v>
      </c>
      <c r="E203" s="11"/>
      <c r="F203" s="11"/>
      <c r="G203" s="16"/>
      <c r="H203" s="16"/>
      <c r="I203" s="16"/>
      <c r="J203" s="16"/>
      <c r="K203" s="12"/>
      <c r="L203" s="12"/>
      <c r="M203" s="912"/>
      <c r="N203" s="913"/>
      <c r="O203" s="13"/>
      <c r="P203" s="12"/>
      <c r="Q203" s="209"/>
      <c r="R203" s="914"/>
      <c r="S203" s="9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spans="1:40" s="10" customFormat="1" hidden="1" x14ac:dyDescent="0.2">
      <c r="C204" s="10" t="s">
        <v>167</v>
      </c>
      <c r="E204" s="11"/>
      <c r="F204" s="11"/>
      <c r="G204" s="16"/>
      <c r="H204" s="16"/>
      <c r="I204" s="16"/>
      <c r="J204" s="16"/>
      <c r="K204" s="12"/>
      <c r="L204" s="12"/>
      <c r="M204" s="912"/>
      <c r="N204" s="913"/>
      <c r="O204" s="13"/>
      <c r="P204" s="12"/>
      <c r="Q204" s="209"/>
      <c r="R204" s="914"/>
      <c r="S204" s="9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spans="1:40" s="10" customFormat="1" hidden="1" x14ac:dyDescent="0.2">
      <c r="C205" s="10" t="s">
        <v>168</v>
      </c>
      <c r="E205" s="11"/>
      <c r="F205" s="11"/>
      <c r="G205" s="16"/>
      <c r="H205" s="16"/>
      <c r="I205" s="16"/>
      <c r="J205" s="16"/>
      <c r="K205" s="12"/>
      <c r="L205" s="12"/>
      <c r="M205" s="912"/>
      <c r="N205" s="913"/>
      <c r="O205" s="13"/>
      <c r="P205" s="12"/>
      <c r="Q205" s="209"/>
      <c r="R205" s="914"/>
      <c r="S205" s="9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spans="1:40" s="10" customFormat="1" x14ac:dyDescent="0.2">
      <c r="D206" s="211" t="s">
        <v>1022</v>
      </c>
      <c r="E206" s="5"/>
      <c r="F206" s="11"/>
      <c r="G206" s="194"/>
      <c r="H206" s="911">
        <f>'Combining FST'!Q113</f>
        <v>0</v>
      </c>
      <c r="I206" s="911">
        <f>'Elimination Entries to FST'!J207</f>
        <v>0</v>
      </c>
      <c r="J206" s="209">
        <f t="shared" ref="J206:J207" si="53">SUM(G206:I206)</f>
        <v>0</v>
      </c>
      <c r="K206" s="12"/>
      <c r="L206" s="16"/>
      <c r="M206" s="925"/>
      <c r="N206" s="913"/>
      <c r="O206" s="13"/>
      <c r="P206" s="12" t="e">
        <f>HLOOKUP($K$23,'Foundation-PY FST $'!$A$1:$AB$230,154,FALSE)</f>
        <v>#N/A</v>
      </c>
      <c r="Q206" s="12" t="e">
        <f>H206-P206</f>
        <v>#N/A</v>
      </c>
      <c r="R206" s="912" t="e">
        <f>IF(Q206=0,0,IF((AND(P206=0,H206&gt;0)),1,IF((AND(P206=0,H206&lt;0)),-1,Q206/ABS(P206))))</f>
        <v>#N/A</v>
      </c>
      <c r="S206" s="915" t="e">
        <f>IF(OR((ABS(Q206)&gt;19800000),AND(ABS(Q206)&gt;9900000,ABS(R206)&gt;0.1)),"yes","-")</f>
        <v>#N/A</v>
      </c>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spans="1:40" s="10" customFormat="1" x14ac:dyDescent="0.2">
      <c r="D207" s="211" t="s">
        <v>8</v>
      </c>
      <c r="E207" s="11"/>
      <c r="F207" s="11"/>
      <c r="G207" s="29"/>
      <c r="H207" s="194"/>
      <c r="I207" s="911">
        <f>'Elimination Entries to FST'!J208</f>
        <v>0</v>
      </c>
      <c r="J207" s="209">
        <f t="shared" si="53"/>
        <v>0</v>
      </c>
      <c r="K207" s="12" t="e">
        <f>HLOOKUP($K$23,'HEI-PY FST $'!$A$1:$AB$257,180,FALSE)</f>
        <v>#N/A</v>
      </c>
      <c r="L207" s="12" t="e">
        <f>G207-K207</f>
        <v>#N/A</v>
      </c>
      <c r="M207" s="912" t="e">
        <f>IF(L207=0,0,IF((AND(K207=0,G207&gt;0)),1,IF((AND(K207=0,G207&lt;0)),-1,L207/ABS(K207))))</f>
        <v>#N/A</v>
      </c>
      <c r="N207" s="913"/>
      <c r="O207" s="13"/>
      <c r="P207" s="12"/>
      <c r="Q207" s="16"/>
      <c r="R207" s="925"/>
      <c r="S207" s="9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spans="1:40" s="10" customFormat="1" x14ac:dyDescent="0.2">
      <c r="C208" s="10" t="s">
        <v>108</v>
      </c>
      <c r="D208" s="18" t="s">
        <v>109</v>
      </c>
      <c r="E208" s="11"/>
      <c r="F208" s="11"/>
      <c r="G208" s="15">
        <f t="shared" ref="G208:L208" si="54">SUM(G200:G207)</f>
        <v>0</v>
      </c>
      <c r="H208" s="15">
        <f t="shared" si="54"/>
        <v>0</v>
      </c>
      <c r="I208" s="15">
        <f t="shared" si="54"/>
        <v>0</v>
      </c>
      <c r="J208" s="15">
        <f t="shared" si="54"/>
        <v>0</v>
      </c>
      <c r="K208" s="15" t="e">
        <f>SUM(K200:K207)</f>
        <v>#N/A</v>
      </c>
      <c r="L208" s="15" t="e">
        <f t="shared" si="54"/>
        <v>#N/A</v>
      </c>
      <c r="M208" s="919" t="e">
        <f>IF(L208=0,0,IF((AND(K208=0,G208&gt;0)),1,IF((AND(K208=0,G208&lt;0)),-1,L208/ABS(K208))))</f>
        <v>#N/A</v>
      </c>
      <c r="N208" s="915" t="e">
        <f>IF(OR((ABS(L208)&gt;19800000),AND(ABS(L208)&gt;9900000,ABS(M208)&gt;0.1)),"yes","-")</f>
        <v>#N/A</v>
      </c>
      <c r="O208" s="13"/>
      <c r="P208" s="15" t="e">
        <f>SUM(P200:P207)</f>
        <v>#N/A</v>
      </c>
      <c r="Q208" s="15" t="e">
        <f>SUM(Q200:Q207)</f>
        <v>#N/A</v>
      </c>
      <c r="R208" s="921" t="e">
        <f>IF(Q208=0,0,IF((AND(P208=0,H208&gt;0)),1,IF((AND(P208=0,H208&lt;0)),-1,Q208/ABS(P208))))</f>
        <v>#N/A</v>
      </c>
      <c r="S208" s="924"/>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spans="1:40" s="10" customFormat="1" x14ac:dyDescent="0.2">
      <c r="B209" s="10" t="s">
        <v>764</v>
      </c>
      <c r="E209" s="11"/>
      <c r="F209" s="11"/>
      <c r="G209" s="12"/>
      <c r="H209" s="12"/>
      <c r="I209" s="12"/>
      <c r="J209" s="12"/>
      <c r="K209" s="12"/>
      <c r="L209" s="12"/>
      <c r="M209" s="923"/>
      <c r="N209" s="924"/>
      <c r="O209" s="13"/>
      <c r="P209" s="12"/>
      <c r="Q209" s="12"/>
      <c r="R209" s="923"/>
      <c r="S209" s="924"/>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spans="1:40" s="10" customFormat="1" hidden="1" x14ac:dyDescent="0.2">
      <c r="C210" s="10" t="s">
        <v>174</v>
      </c>
      <c r="E210" s="11"/>
      <c r="F210" s="11"/>
      <c r="G210" s="12"/>
      <c r="H210" s="12"/>
      <c r="I210" s="12"/>
      <c r="J210" s="12"/>
      <c r="K210" s="12"/>
      <c r="L210" s="12"/>
      <c r="M210" s="923"/>
      <c r="N210" s="913"/>
      <c r="O210" s="13"/>
      <c r="P210" s="12"/>
      <c r="Q210" s="209"/>
      <c r="R210" s="914"/>
      <c r="S210" s="9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spans="1:40" s="10" customFormat="1" hidden="1" x14ac:dyDescent="0.2">
      <c r="C211" s="10" t="s">
        <v>164</v>
      </c>
      <c r="E211" s="11"/>
      <c r="F211" s="11"/>
      <c r="G211" s="12"/>
      <c r="H211" s="12"/>
      <c r="I211" s="12"/>
      <c r="J211" s="12"/>
      <c r="K211" s="12"/>
      <c r="L211" s="12"/>
      <c r="M211" s="923"/>
      <c r="N211" s="913"/>
      <c r="O211" s="13"/>
      <c r="P211" s="12"/>
      <c r="Q211" s="209"/>
      <c r="R211" s="914"/>
      <c r="S211" s="9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spans="1:40" s="10" customFormat="1" hidden="1" x14ac:dyDescent="0.2">
      <c r="C212" s="10" t="s">
        <v>165</v>
      </c>
      <c r="E212" s="11"/>
      <c r="F212" s="11"/>
      <c r="G212" s="12"/>
      <c r="H212" s="12"/>
      <c r="I212" s="12"/>
      <c r="J212" s="12"/>
      <c r="K212" s="12"/>
      <c r="L212" s="12"/>
      <c r="M212" s="923"/>
      <c r="N212" s="913"/>
      <c r="O212" s="13"/>
      <c r="P212" s="12"/>
      <c r="Q212" s="209"/>
      <c r="R212" s="914"/>
      <c r="S212" s="9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spans="1:40" s="10" customFormat="1" hidden="1" x14ac:dyDescent="0.2">
      <c r="C213" s="10" t="s">
        <v>166</v>
      </c>
      <c r="E213" s="11"/>
      <c r="F213" s="11"/>
      <c r="G213" s="12"/>
      <c r="H213" s="12"/>
      <c r="I213" s="12"/>
      <c r="J213" s="12"/>
      <c r="K213" s="12"/>
      <c r="L213" s="12"/>
      <c r="M213" s="923"/>
      <c r="N213" s="913"/>
      <c r="O213" s="13"/>
      <c r="P213" s="12"/>
      <c r="Q213" s="209"/>
      <c r="R213" s="914"/>
      <c r="S213" s="9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spans="1:40" s="10" customFormat="1" hidden="1" x14ac:dyDescent="0.2">
      <c r="C214" s="10" t="s">
        <v>170</v>
      </c>
      <c r="E214" s="11"/>
      <c r="F214" s="11"/>
      <c r="G214" s="12"/>
      <c r="H214" s="12"/>
      <c r="I214" s="12"/>
      <c r="J214" s="12"/>
      <c r="K214" s="12"/>
      <c r="L214" s="12"/>
      <c r="M214" s="923"/>
      <c r="N214" s="913"/>
      <c r="O214" s="13"/>
      <c r="P214" s="12"/>
      <c r="Q214" s="209"/>
      <c r="R214" s="914"/>
      <c r="S214" s="9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spans="1:40" s="10" customFormat="1" hidden="1" x14ac:dyDescent="0.2">
      <c r="C215" s="10" t="s">
        <v>171</v>
      </c>
      <c r="E215" s="11"/>
      <c r="F215" s="11"/>
      <c r="G215" s="12"/>
      <c r="H215" s="12"/>
      <c r="I215" s="12"/>
      <c r="J215" s="12"/>
      <c r="K215" s="12"/>
      <c r="L215" s="12"/>
      <c r="M215" s="923"/>
      <c r="N215" s="913"/>
      <c r="O215" s="13"/>
      <c r="P215" s="12"/>
      <c r="Q215" s="209"/>
      <c r="R215" s="914"/>
      <c r="S215" s="9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spans="1:40" s="10" customFormat="1" hidden="1" x14ac:dyDescent="0.2">
      <c r="C216" s="10" t="s">
        <v>167</v>
      </c>
      <c r="E216" s="11"/>
      <c r="F216" s="11"/>
      <c r="G216" s="12"/>
      <c r="H216" s="12"/>
      <c r="I216" s="12"/>
      <c r="J216" s="12"/>
      <c r="K216" s="12"/>
      <c r="L216" s="12"/>
      <c r="M216" s="923"/>
      <c r="N216" s="913"/>
      <c r="O216" s="13"/>
      <c r="P216" s="12"/>
      <c r="Q216" s="209"/>
      <c r="R216" s="914"/>
      <c r="S216" s="9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spans="1:40" s="10" customFormat="1" hidden="1" x14ac:dyDescent="0.2">
      <c r="C217" s="10" t="s">
        <v>172</v>
      </c>
      <c r="E217" s="11"/>
      <c r="F217" s="11"/>
      <c r="G217" s="12"/>
      <c r="H217" s="12"/>
      <c r="I217" s="12"/>
      <c r="J217" s="12"/>
      <c r="K217" s="12"/>
      <c r="L217" s="12"/>
      <c r="M217" s="923"/>
      <c r="N217" s="913"/>
      <c r="O217" s="13"/>
      <c r="P217" s="12"/>
      <c r="Q217" s="209"/>
      <c r="R217" s="914"/>
      <c r="S217" s="9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spans="1:40" s="10" customFormat="1" hidden="1" x14ac:dyDescent="0.2">
      <c r="C218" s="10" t="s">
        <v>173</v>
      </c>
      <c r="E218" s="11"/>
      <c r="F218" s="11"/>
      <c r="G218" s="12"/>
      <c r="H218" s="12"/>
      <c r="I218" s="12"/>
      <c r="J218" s="12"/>
      <c r="K218" s="12"/>
      <c r="L218" s="12"/>
      <c r="M218" s="923"/>
      <c r="N218" s="913"/>
      <c r="O218" s="13"/>
      <c r="P218" s="12"/>
      <c r="Q218" s="209"/>
      <c r="R218" s="914"/>
      <c r="S218" s="9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spans="1:40" s="10" customFormat="1" x14ac:dyDescent="0.2">
      <c r="D219" s="211" t="s">
        <v>1307</v>
      </c>
      <c r="E219" s="2" t="s">
        <v>1315</v>
      </c>
      <c r="F219" s="11"/>
      <c r="G219" s="193"/>
      <c r="H219" s="194"/>
      <c r="I219" s="911">
        <f>'Elimination Entries to FST'!J220</f>
        <v>0</v>
      </c>
      <c r="J219" s="209">
        <f t="shared" ref="J219:J221" si="55">SUM(G219:I219)</f>
        <v>0</v>
      </c>
      <c r="K219" s="12" t="e">
        <f>HLOOKUP($K$23,'HEI-PY FST $'!$A$1:$AB$257,192,FALSE)</f>
        <v>#N/A</v>
      </c>
      <c r="L219" s="12" t="e">
        <f t="shared" ref="L219:L221" si="56">G219-K219</f>
        <v>#N/A</v>
      </c>
      <c r="M219" s="912" t="e">
        <f>IF(L219=0,0,IF((AND(K219=0,G219&gt;0)),1,IF((AND(K219=0,G219&lt;0)),-1,L219/ABS(K219))))</f>
        <v>#N/A</v>
      </c>
      <c r="N219" s="913"/>
      <c r="O219" s="13"/>
      <c r="P219" s="12"/>
      <c r="Q219" s="209"/>
      <c r="R219" s="914"/>
      <c r="S219" s="9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spans="1:40" s="10" customFormat="1" x14ac:dyDescent="0.2">
      <c r="D220" s="211" t="s">
        <v>1022</v>
      </c>
      <c r="E220" s="5"/>
      <c r="F220" s="11"/>
      <c r="G220" s="194"/>
      <c r="H220" s="911">
        <f>'Combining FST'!Q115</f>
        <v>0</v>
      </c>
      <c r="I220" s="911">
        <f>'Elimination Entries to FST'!J221</f>
        <v>0</v>
      </c>
      <c r="J220" s="209">
        <f t="shared" si="55"/>
        <v>0</v>
      </c>
      <c r="K220" s="12"/>
      <c r="L220" s="16"/>
      <c r="M220" s="925"/>
      <c r="N220" s="913"/>
      <c r="O220" s="13"/>
      <c r="P220" s="12" t="e">
        <f>HLOOKUP($K$23,'Foundation-PY FST $'!$A$1:$AB$230,168,FALSE)</f>
        <v>#N/A</v>
      </c>
      <c r="Q220" s="12" t="e">
        <f>H220-P220</f>
        <v>#N/A</v>
      </c>
      <c r="R220" s="912" t="e">
        <f>IF(Q220=0,0,IF((AND(P220=0,H220&gt;0)),1,IF((AND(P220=0,H220&lt;0)),-1,Q220/ABS(P220))))</f>
        <v>#N/A</v>
      </c>
      <c r="S220" s="915" t="e">
        <f>IF(OR((ABS(Q220)&gt;19800000),AND(ABS(Q220)&gt;9900000,ABS(R220)&gt;0.1)),"yes","-")</f>
        <v>#N/A</v>
      </c>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spans="1:40" s="10" customFormat="1" x14ac:dyDescent="0.2">
      <c r="D221" s="211" t="s">
        <v>8</v>
      </c>
      <c r="E221" s="11"/>
      <c r="F221" s="11"/>
      <c r="G221" s="193"/>
      <c r="H221" s="194"/>
      <c r="I221" s="911">
        <f>'Elimination Entries to FST'!J222</f>
        <v>0</v>
      </c>
      <c r="J221" s="209">
        <f t="shared" si="55"/>
        <v>0</v>
      </c>
      <c r="K221" s="12" t="e">
        <f>HLOOKUP($K$23,'HEI-PY FST $'!$A$1:$AB$257,194,FALSE)</f>
        <v>#N/A</v>
      </c>
      <c r="L221" s="12" t="e">
        <f t="shared" si="56"/>
        <v>#N/A</v>
      </c>
      <c r="M221" s="912" t="e">
        <f>IF(L221=0,0,IF((AND(K221=0,G221&gt;0)),1,IF((AND(K221=0,G221&lt;0)),-1,L221/ABS(K221))))</f>
        <v>#N/A</v>
      </c>
      <c r="N221" s="913"/>
      <c r="O221" s="13"/>
      <c r="P221" s="12"/>
      <c r="Q221" s="916"/>
      <c r="R221" s="917"/>
      <c r="S221" s="9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spans="1:40" s="10" customFormat="1" x14ac:dyDescent="0.2">
      <c r="D222" s="18" t="s">
        <v>110</v>
      </c>
      <c r="E222" s="11"/>
      <c r="F222" s="11"/>
      <c r="G222" s="15">
        <f t="shared" ref="G222:J222" si="57">SUM(G210:G221)</f>
        <v>0</v>
      </c>
      <c r="H222" s="15">
        <f t="shared" si="57"/>
        <v>0</v>
      </c>
      <c r="I222" s="15">
        <f t="shared" si="57"/>
        <v>0</v>
      </c>
      <c r="J222" s="15">
        <f t="shared" si="57"/>
        <v>0</v>
      </c>
      <c r="K222" s="15" t="e">
        <f>SUM(K210:K221)</f>
        <v>#N/A</v>
      </c>
      <c r="L222" s="15" t="e">
        <f>SUM(L210:L221)</f>
        <v>#N/A</v>
      </c>
      <c r="M222" s="919" t="e">
        <f>IF(L222=0,0,IF((AND(K222=0,G222&gt;0)),1,IF((AND(K222=0,G222&lt;0)),-1,L222/ABS(K222))))</f>
        <v>#N/A</v>
      </c>
      <c r="N222" s="915" t="e">
        <f>IF(OR((ABS(L222)&gt;19800000),AND(ABS(L222)&gt;9900000,ABS(M222)&gt;0.1)),"yes","-")</f>
        <v>#N/A</v>
      </c>
      <c r="O222" s="13"/>
      <c r="P222" s="15" t="e">
        <f>SUM(P210:P221)</f>
        <v>#N/A</v>
      </c>
      <c r="Q222" s="920" t="e">
        <f>SUM(Q210:Q221)</f>
        <v>#N/A</v>
      </c>
      <c r="R222" s="921" t="e">
        <f>IF(Q222=0,0,IF((AND(P222=0,H222&gt;0)),1,IF((AND(P222=0,H222&lt;0)),-1,Q222/ABS(P222))))</f>
        <v>#N/A</v>
      </c>
      <c r="S222" s="924"/>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spans="1:40" s="10" customFormat="1" x14ac:dyDescent="0.2">
      <c r="E223" s="11"/>
      <c r="F223" s="11"/>
      <c r="G223" s="12"/>
      <c r="H223" s="12"/>
      <c r="I223" s="12"/>
      <c r="J223" s="12"/>
      <c r="K223" s="12"/>
      <c r="L223" s="12"/>
      <c r="M223" s="923"/>
      <c r="N223" s="924"/>
      <c r="O223" s="13"/>
      <c r="P223" s="12"/>
      <c r="Q223" s="12"/>
      <c r="R223" s="923"/>
      <c r="S223" s="924"/>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spans="1:40" s="10" customFormat="1" x14ac:dyDescent="0.2">
      <c r="A224" s="18" t="s">
        <v>495</v>
      </c>
      <c r="E224" s="11"/>
      <c r="F224" s="11"/>
      <c r="G224" s="29"/>
      <c r="H224" s="911">
        <f>'Combining FST'!Q116</f>
        <v>0</v>
      </c>
      <c r="I224" s="911">
        <f>'Elimination Entries to FST'!J225</f>
        <v>0</v>
      </c>
      <c r="J224" s="209">
        <f>SUM(G224:I224)</f>
        <v>0</v>
      </c>
      <c r="K224" s="12" t="e">
        <f>HLOOKUP($K$23,'HEI-PY FST $'!$A$1:$AB$257,197,FALSE)</f>
        <v>#N/A</v>
      </c>
      <c r="L224" s="12" t="e">
        <f>G224-K224</f>
        <v>#N/A</v>
      </c>
      <c r="M224" s="912" t="e">
        <f>IF(L224=0,0,IF((AND(K224=0,G224&gt;0)),1,IF((AND(K224=0,G224&lt;0)),-1,L224/ABS(K224))))</f>
        <v>#N/A</v>
      </c>
      <c r="N224" s="915" t="e">
        <f>IF(OR((ABS(L224)&gt;19800000),AND(ABS(L224)&gt;9900000,ABS(M224)&gt;0.1)),"yes","-")</f>
        <v>#N/A</v>
      </c>
      <c r="O224" s="13"/>
      <c r="P224" s="12" t="e">
        <f>HLOOKUP($K$23,'Foundation-PY FST $'!$A$1:$AB$230,172,FALSE)</f>
        <v>#N/A</v>
      </c>
      <c r="Q224" s="12" t="e">
        <f>H224-P224</f>
        <v>#N/A</v>
      </c>
      <c r="R224" s="940" t="e">
        <f>IF(Q224=0,0,IF((AND(P224=0,H224&gt;0)),1,IF((AND(P224=0,H224&lt;0)),-1,Q224/ABS(P224))))</f>
        <v>#N/A</v>
      </c>
      <c r="S224" s="915" t="e">
        <f>IF(OR((ABS(Q224)&gt;19800000),AND(ABS(Q224)&gt;9900000,ABS(R224)&gt;0.1)),"yes","-")</f>
        <v>#N/A</v>
      </c>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spans="1:40" s="10" customFormat="1" ht="12.75" thickBot="1" x14ac:dyDescent="0.25">
      <c r="A225" s="18" t="s">
        <v>855</v>
      </c>
      <c r="E225" s="11"/>
      <c r="F225" s="11"/>
      <c r="G225" s="20">
        <f>IF(SUM(G197,G208,G222,G224)=SUM(G121-G194),SUM(G197,G208,G222,G224),"ERROR")</f>
        <v>0</v>
      </c>
      <c r="H225" s="20">
        <f t="shared" ref="H225:J225" si="58">IF(SUM(H197,H208,H222,H224)=SUM(H121-H194),SUM(H197,H208,H222,H224),"ERROR")</f>
        <v>0</v>
      </c>
      <c r="I225" s="20">
        <f t="shared" si="58"/>
        <v>0</v>
      </c>
      <c r="J225" s="20">
        <f t="shared" si="58"/>
        <v>0</v>
      </c>
      <c r="K225" s="20" t="e">
        <f>IF(SUM(K197,K208,K222,K224)=SUM(K121-K194),SUM(K197,K208,K222,K224),"ERROR")</f>
        <v>#N/A</v>
      </c>
      <c r="L225" s="20" t="e">
        <f>IF(SUM(L197,L208,L222,L224)=SUM(L121-L194),SUM(L197,L208,L222,L224),"ERROR")</f>
        <v>#N/A</v>
      </c>
      <c r="M225" s="935" t="e">
        <f>IF(L225=0,0,IF((AND(K225=0,G225&gt;0)),1,IF((AND(K225=0,G225&lt;0)),-1,L225/ABS(K225))))</f>
        <v>#N/A</v>
      </c>
      <c r="N225" s="924"/>
      <c r="O225" s="13"/>
      <c r="P225" s="20" t="e">
        <f>IF(SUM(P197,P208,P222,P224)=SUM(P121-P194),SUM(P197,P208,P222,P224),"ERROR")</f>
        <v>#N/A</v>
      </c>
      <c r="Q225" s="20" t="e">
        <f>IF(SUM(Q197,Q208,Q222,Q224)=SUM(Q121-Q194),SUM(Q197,Q208,Q222,Q224),"ERROR")</f>
        <v>#N/A</v>
      </c>
      <c r="R225" s="935" t="e">
        <f>IF(Q225=0,0,IF((AND(P225=0,H225&gt;0)),1,IF((AND(P225=0,H225&lt;0)),-1,Q225/ABS(P225))))</f>
        <v>#N/A</v>
      </c>
      <c r="S225" s="924"/>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spans="1:40" s="10" customFormat="1" ht="38.25" customHeight="1" thickTop="1" x14ac:dyDescent="0.2">
      <c r="A226" s="1165" t="s">
        <v>1214</v>
      </c>
      <c r="B226" s="1166"/>
      <c r="C226" s="1166"/>
      <c r="D226" s="1166"/>
      <c r="E226" s="1167"/>
      <c r="F226" s="11"/>
      <c r="G226" s="12"/>
      <c r="H226" s="12"/>
      <c r="I226" s="12"/>
      <c r="J226" s="12"/>
      <c r="K226" s="12"/>
      <c r="L226" s="12"/>
      <c r="M226" s="923"/>
      <c r="N226" s="924"/>
      <c r="O226" s="13"/>
      <c r="P226" s="12"/>
      <c r="Q226" s="12"/>
      <c r="R226" s="923"/>
      <c r="S226" s="924"/>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spans="1:40" s="10" customFormat="1" ht="12.75" x14ac:dyDescent="0.2">
      <c r="B227"/>
      <c r="C227"/>
      <c r="D227"/>
      <c r="E227" s="409" t="s">
        <v>203</v>
      </c>
      <c r="F227" s="11"/>
      <c r="G227" s="410">
        <f>G121-G194</f>
        <v>0</v>
      </c>
      <c r="H227" s="410">
        <f>H121-H194</f>
        <v>0</v>
      </c>
      <c r="I227" s="410">
        <f>I121-I194</f>
        <v>0</v>
      </c>
      <c r="J227" s="410">
        <f>J121-J194</f>
        <v>0</v>
      </c>
      <c r="K227" s="12"/>
      <c r="L227" s="12"/>
      <c r="M227" s="923"/>
      <c r="N227" s="924"/>
      <c r="O227" s="13"/>
      <c r="P227" s="12"/>
      <c r="Q227" s="12"/>
      <c r="R227" s="923"/>
      <c r="S227" s="924"/>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spans="1:40" s="10" customFormat="1" x14ac:dyDescent="0.2">
      <c r="B228" s="21"/>
      <c r="E228" s="409" t="s">
        <v>857</v>
      </c>
      <c r="F228" s="11"/>
      <c r="G228" s="410">
        <f>SUM(G197,G208,G222,G224)</f>
        <v>0</v>
      </c>
      <c r="H228" s="410">
        <f>SUM(H197,H208,H222,H224)</f>
        <v>0</v>
      </c>
      <c r="I228" s="410">
        <f>SUM(I197,I208,I222,I224)</f>
        <v>0</v>
      </c>
      <c r="J228" s="410">
        <f>SUM(J197,J208,J222,J224)</f>
        <v>0</v>
      </c>
      <c r="K228" s="12"/>
      <c r="L228" s="12"/>
      <c r="M228" s="923"/>
      <c r="N228" s="924"/>
      <c r="O228" s="13"/>
      <c r="P228" s="12"/>
      <c r="Q228" s="12"/>
      <c r="R228" s="923"/>
      <c r="S228" s="924"/>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spans="1:40" s="10" customFormat="1" ht="12.75" x14ac:dyDescent="0.2">
      <c r="B229"/>
      <c r="C229"/>
      <c r="D229"/>
      <c r="E229" s="409" t="s">
        <v>114</v>
      </c>
      <c r="F229" s="11"/>
      <c r="G229" s="410">
        <f>G227-G228</f>
        <v>0</v>
      </c>
      <c r="H229" s="410">
        <f>H227-H228</f>
        <v>0</v>
      </c>
      <c r="I229" s="410">
        <f>I227-I228</f>
        <v>0</v>
      </c>
      <c r="J229" s="410">
        <f>J227-J228</f>
        <v>0</v>
      </c>
      <c r="K229" s="12"/>
      <c r="L229" s="12"/>
      <c r="M229" s="923"/>
      <c r="N229" s="924"/>
      <c r="O229" s="13"/>
      <c r="P229" s="12"/>
      <c r="Q229" s="12"/>
      <c r="R229" s="923"/>
      <c r="S229" s="924"/>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spans="1:40" s="10" customFormat="1" x14ac:dyDescent="0.2">
      <c r="B230" s="21"/>
      <c r="E230" s="409"/>
      <c r="F230" s="11"/>
      <c r="G230" s="12"/>
      <c r="H230" s="12"/>
      <c r="I230" s="12"/>
      <c r="J230" s="12"/>
      <c r="K230" s="12"/>
      <c r="L230" s="12"/>
      <c r="M230" s="923"/>
      <c r="N230" s="924"/>
      <c r="O230" s="13"/>
      <c r="P230" s="12"/>
      <c r="Q230" s="12"/>
      <c r="R230" s="923"/>
      <c r="S230" s="924"/>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spans="1:40" s="10" customFormat="1" x14ac:dyDescent="0.2">
      <c r="A231" s="1"/>
      <c r="B231" s="211"/>
      <c r="C231" s="211"/>
      <c r="E231" s="11"/>
      <c r="F231" s="11"/>
      <c r="G231" s="12"/>
      <c r="H231" s="12"/>
      <c r="I231" s="12"/>
      <c r="J231" s="12"/>
      <c r="K231" s="12"/>
      <c r="L231" s="12"/>
      <c r="M231" s="923"/>
      <c r="N231" s="924"/>
      <c r="O231" s="13"/>
      <c r="P231" s="12"/>
      <c r="Q231" s="12"/>
      <c r="R231" s="923"/>
      <c r="S231" s="924"/>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spans="1:40" s="10" customFormat="1" x14ac:dyDescent="0.2">
      <c r="A232" s="1" t="s">
        <v>490</v>
      </c>
      <c r="E232" s="11"/>
      <c r="F232" s="11"/>
      <c r="G232" s="12"/>
      <c r="H232" s="12"/>
      <c r="I232" s="12"/>
      <c r="J232" s="12"/>
      <c r="K232" s="12"/>
      <c r="L232" s="12"/>
      <c r="M232" s="923"/>
      <c r="N232" s="924"/>
      <c r="O232" s="13"/>
      <c r="P232" s="12"/>
      <c r="Q232" s="12"/>
      <c r="R232" s="923"/>
      <c r="S232" s="924"/>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spans="1:40" x14ac:dyDescent="0.2">
      <c r="A233" s="1"/>
      <c r="E233" s="11"/>
      <c r="M233" s="941"/>
      <c r="N233" s="942"/>
      <c r="O233" s="23"/>
      <c r="R233" s="941"/>
      <c r="S233" s="942"/>
      <c r="T233" s="23"/>
      <c r="U233" s="23"/>
      <c r="V233" s="23"/>
      <c r="W233" s="23"/>
      <c r="X233" s="23"/>
      <c r="Y233" s="23"/>
      <c r="Z233" s="23"/>
      <c r="AA233" s="23"/>
      <c r="AB233" s="23"/>
      <c r="AC233" s="23"/>
      <c r="AD233" s="23"/>
      <c r="AE233" s="23"/>
      <c r="AF233" s="23"/>
      <c r="AG233" s="23"/>
      <c r="AH233" s="23"/>
      <c r="AI233" s="23"/>
      <c r="AJ233" s="23"/>
      <c r="AK233" s="23"/>
      <c r="AL233" s="23"/>
      <c r="AM233" s="23"/>
      <c r="AN233" s="23"/>
    </row>
    <row r="234" spans="1:40" x14ac:dyDescent="0.2">
      <c r="A234" s="1" t="s">
        <v>489</v>
      </c>
      <c r="B234" s="13"/>
      <c r="E234" s="11"/>
      <c r="M234" s="941"/>
      <c r="N234" s="942"/>
      <c r="O234" s="23"/>
      <c r="R234" s="941"/>
      <c r="S234" s="942"/>
      <c r="T234" s="23"/>
      <c r="U234" s="23"/>
      <c r="V234" s="23"/>
      <c r="W234" s="23"/>
      <c r="X234" s="23"/>
      <c r="Y234" s="23"/>
      <c r="Z234" s="23"/>
      <c r="AA234" s="23"/>
      <c r="AB234" s="23"/>
      <c r="AC234" s="23"/>
      <c r="AD234" s="23"/>
      <c r="AE234" s="23"/>
      <c r="AF234" s="23"/>
      <c r="AG234" s="23"/>
      <c r="AH234" s="23"/>
      <c r="AI234" s="23"/>
      <c r="AJ234" s="23"/>
      <c r="AK234" s="23"/>
      <c r="AL234" s="23"/>
      <c r="AM234" s="23"/>
      <c r="AN234" s="23"/>
    </row>
    <row r="235" spans="1:40" x14ac:dyDescent="0.2">
      <c r="A235" s="10"/>
      <c r="B235" s="18" t="s">
        <v>444</v>
      </c>
      <c r="C235" s="18"/>
      <c r="E235" s="11"/>
      <c r="G235" s="30"/>
      <c r="H235" s="943">
        <f>'Combining FST'!Q131</f>
        <v>0</v>
      </c>
      <c r="I235" s="943">
        <f>'Elimination Entries to FST'!J236</f>
        <v>0</v>
      </c>
      <c r="J235" s="3">
        <f>SUM(G235:I235)</f>
        <v>0</v>
      </c>
      <c r="K235" s="12" t="e">
        <f>HLOOKUP($K$23,'HEI-PY FST $'!$A$1:$AB$257,208,FALSE)</f>
        <v>#N/A</v>
      </c>
      <c r="L235" s="12" t="e">
        <f>G235-K235</f>
        <v>#N/A</v>
      </c>
      <c r="M235" s="912" t="e">
        <f>IF(L235=0,0,IF((AND(K235=0,G235&gt;0)),1,IF((AND(K235=0,G235&lt;0)),-1,L235/ABS(K235))))</f>
        <v>#N/A</v>
      </c>
      <c r="N235" s="915" t="e">
        <f>IF(OR((ABS(L235)&gt;19800000),AND(ABS(L235)&gt;9900000,ABS(M235)&gt;0.1)),"yes","-")</f>
        <v>#N/A</v>
      </c>
      <c r="O235" s="23"/>
      <c r="P235" s="12" t="e">
        <f>HLOOKUP($K$23,'Foundation-PY FST $'!$A$1:$AB$230,183,FALSE)</f>
        <v>#N/A</v>
      </c>
      <c r="Q235" s="12" t="e">
        <f>H235-P235</f>
        <v>#N/A</v>
      </c>
      <c r="R235" s="912" t="e">
        <f>IF(Q235=0,0,IF((AND(P235=0,H235&gt;0)),1,IF((AND(P235=0,H235&lt;0)),-1,Q235/ABS(P235))))</f>
        <v>#N/A</v>
      </c>
      <c r="S235" s="915" t="e">
        <f>IF(OR((ABS(Q235)&gt;19800000),AND(ABS(Q235)&gt;9900000,ABS(R235)&gt;0.1)),"yes","-")</f>
        <v>#N/A</v>
      </c>
      <c r="T235" s="23"/>
      <c r="U235" s="23"/>
      <c r="V235" s="23"/>
      <c r="W235" s="23"/>
      <c r="X235" s="23"/>
      <c r="Y235" s="23"/>
      <c r="Z235" s="23"/>
      <c r="AA235" s="23"/>
      <c r="AB235" s="23"/>
      <c r="AC235" s="23"/>
      <c r="AD235" s="23"/>
      <c r="AE235" s="23"/>
      <c r="AF235" s="23"/>
      <c r="AG235" s="23"/>
      <c r="AH235" s="23"/>
      <c r="AI235" s="23"/>
      <c r="AJ235" s="23"/>
      <c r="AK235" s="23"/>
      <c r="AL235" s="23"/>
      <c r="AM235" s="23"/>
      <c r="AN235" s="23"/>
    </row>
    <row r="236" spans="1:40" x14ac:dyDescent="0.2">
      <c r="A236" s="10"/>
      <c r="B236" s="18" t="s">
        <v>399</v>
      </c>
      <c r="C236" s="18"/>
      <c r="E236" s="11"/>
      <c r="G236" s="30"/>
      <c r="H236" s="943">
        <f>'Combining FST'!Q132</f>
        <v>0</v>
      </c>
      <c r="I236" s="943">
        <f>'Elimination Entries to FST'!J237</f>
        <v>0</v>
      </c>
      <c r="J236" s="3">
        <f>SUM(G236:I236)</f>
        <v>0</v>
      </c>
      <c r="K236" s="12" t="e">
        <f>HLOOKUP($K$23,'HEI-PY FST $'!$A$1:$AB$257,209,FALSE)</f>
        <v>#N/A</v>
      </c>
      <c r="L236" s="12" t="e">
        <f>G236-K236</f>
        <v>#N/A</v>
      </c>
      <c r="M236" s="912" t="e">
        <f>IF(L236=0,0,IF((AND(K236=0,G236&gt;0)),1,IF((AND(K236=0,G236&lt;0)),-1,L236/ABS(K236))))</f>
        <v>#N/A</v>
      </c>
      <c r="N236" s="915" t="e">
        <f>IF(OR((ABS(L236)&gt;19800000),AND(ABS(L236)&gt;9900000,ABS(M236)&gt;0.1)),"yes","-")</f>
        <v>#N/A</v>
      </c>
      <c r="O236" s="23"/>
      <c r="P236" s="12" t="e">
        <f>HLOOKUP($K$23,'Foundation-PY FST $'!$A$1:$AB$230,184,FALSE)</f>
        <v>#N/A</v>
      </c>
      <c r="Q236" s="12" t="e">
        <f>H236-P236</f>
        <v>#N/A</v>
      </c>
      <c r="R236" s="912" t="e">
        <f>IF(Q236=0,0,IF((AND(P236=0,H236&gt;0)),1,IF((AND(P236=0,H236&lt;0)),-1,Q236/ABS(P236))))</f>
        <v>#N/A</v>
      </c>
      <c r="S236" s="915" t="e">
        <f>IF(OR((ABS(Q236)&gt;19800000),AND(ABS(Q236)&gt;9900000,ABS(R236)&gt;0.1)),"yes","-")</f>
        <v>#N/A</v>
      </c>
      <c r="T236" s="23"/>
      <c r="U236" s="23"/>
      <c r="V236" s="23"/>
      <c r="W236" s="23"/>
      <c r="X236" s="23"/>
      <c r="Y236" s="23"/>
      <c r="Z236" s="23"/>
      <c r="AA236" s="23"/>
      <c r="AB236" s="23"/>
      <c r="AC236" s="23"/>
      <c r="AD236" s="23"/>
      <c r="AE236" s="23"/>
      <c r="AF236" s="23"/>
      <c r="AG236" s="23"/>
      <c r="AH236" s="23"/>
      <c r="AI236" s="23"/>
      <c r="AJ236" s="23"/>
      <c r="AK236" s="23"/>
      <c r="AL236" s="23"/>
      <c r="AM236" s="23"/>
      <c r="AN236" s="23"/>
    </row>
    <row r="237" spans="1:40" x14ac:dyDescent="0.2">
      <c r="A237" s="10"/>
      <c r="B237" s="18" t="s">
        <v>400</v>
      </c>
      <c r="C237" s="18"/>
      <c r="E237" s="11"/>
      <c r="G237" s="30"/>
      <c r="H237" s="943">
        <f>'Combining FST'!Q133</f>
        <v>0</v>
      </c>
      <c r="I237" s="943">
        <f>'Elimination Entries to FST'!J238</f>
        <v>0</v>
      </c>
      <c r="J237" s="3">
        <f>SUM(G237:I237)</f>
        <v>0</v>
      </c>
      <c r="K237" s="12" t="e">
        <f>HLOOKUP($K$23,'HEI-PY FST $'!$A$1:$AB$257,210,FALSE)</f>
        <v>#N/A</v>
      </c>
      <c r="L237" s="12" t="e">
        <f>G237-K237</f>
        <v>#N/A</v>
      </c>
      <c r="M237" s="912" t="e">
        <f>IF(L237=0,0,IF((AND(K237=0,G237&gt;0)),1,IF((AND(K237=0,G237&lt;0)),-1,L237/ABS(K237))))</f>
        <v>#N/A</v>
      </c>
      <c r="N237" s="915" t="e">
        <f>IF(OR((ABS(L237)&gt;19800000),AND(ABS(L237)&gt;9900000,ABS(M237)&gt;0.1)),"yes","-")</f>
        <v>#N/A</v>
      </c>
      <c r="O237" s="23"/>
      <c r="P237" s="12" t="e">
        <f>HLOOKUP($K$23,'Foundation-PY FST $'!$A$1:$AB$230,185,FALSE)</f>
        <v>#N/A</v>
      </c>
      <c r="Q237" s="12" t="e">
        <f>H237-P237</f>
        <v>#N/A</v>
      </c>
      <c r="R237" s="912" t="e">
        <f>IF(Q237=0,0,IF((AND(P237=0,H237&gt;0)),1,IF((AND(P237=0,H237&lt;0)),-1,Q237/ABS(P237))))</f>
        <v>#N/A</v>
      </c>
      <c r="S237" s="915" t="e">
        <f>IF(OR((ABS(Q237)&gt;19800000),AND(ABS(Q237)&gt;9900000,ABS(R237)&gt;0.1)),"yes","-")</f>
        <v>#N/A</v>
      </c>
      <c r="T237" s="23"/>
      <c r="U237" s="23"/>
      <c r="V237" s="23"/>
      <c r="W237" s="23"/>
      <c r="X237" s="23"/>
      <c r="Y237" s="23"/>
      <c r="Z237" s="23"/>
      <c r="AA237" s="23"/>
      <c r="AB237" s="23"/>
      <c r="AC237" s="23"/>
      <c r="AD237" s="23"/>
      <c r="AE237" s="23"/>
      <c r="AF237" s="23"/>
      <c r="AG237" s="23"/>
      <c r="AH237" s="23"/>
      <c r="AI237" s="23"/>
      <c r="AJ237" s="23"/>
      <c r="AK237" s="23"/>
      <c r="AL237" s="23"/>
      <c r="AM237" s="23"/>
      <c r="AN237" s="23"/>
    </row>
    <row r="238" spans="1:40" x14ac:dyDescent="0.2">
      <c r="A238" s="10"/>
      <c r="B238" s="13"/>
      <c r="C238" s="10"/>
      <c r="E238" s="11"/>
      <c r="M238" s="941"/>
      <c r="N238" s="942"/>
      <c r="O238" s="23"/>
      <c r="R238" s="941"/>
      <c r="S238" s="942"/>
      <c r="T238" s="23"/>
      <c r="U238" s="23"/>
      <c r="V238" s="23"/>
      <c r="W238" s="23"/>
      <c r="X238" s="23"/>
      <c r="Y238" s="23"/>
      <c r="Z238" s="23"/>
      <c r="AA238" s="23"/>
      <c r="AB238" s="23"/>
      <c r="AC238" s="23"/>
      <c r="AD238" s="23"/>
      <c r="AE238" s="23"/>
      <c r="AF238" s="23"/>
      <c r="AG238" s="23"/>
      <c r="AH238" s="23"/>
      <c r="AI238" s="23"/>
      <c r="AJ238" s="23"/>
      <c r="AK238" s="23"/>
      <c r="AL238" s="23"/>
      <c r="AM238" s="23"/>
      <c r="AN238" s="23"/>
    </row>
    <row r="239" spans="1:40" x14ac:dyDescent="0.2">
      <c r="A239" s="1" t="s">
        <v>123</v>
      </c>
      <c r="B239" s="13"/>
      <c r="C239" s="10"/>
      <c r="E239" s="11"/>
      <c r="M239" s="941"/>
      <c r="N239" s="942"/>
      <c r="O239" s="23"/>
      <c r="R239" s="941"/>
      <c r="S239" s="942"/>
      <c r="T239" s="23"/>
      <c r="U239" s="23"/>
      <c r="V239" s="23"/>
      <c r="W239" s="23"/>
      <c r="X239" s="23"/>
      <c r="Y239" s="23"/>
      <c r="Z239" s="23"/>
      <c r="AA239" s="23"/>
      <c r="AB239" s="23"/>
      <c r="AC239" s="23"/>
      <c r="AD239" s="23"/>
      <c r="AE239" s="23"/>
      <c r="AF239" s="23"/>
      <c r="AG239" s="23"/>
      <c r="AH239" s="23"/>
      <c r="AI239" s="23"/>
      <c r="AJ239" s="23"/>
      <c r="AK239" s="23"/>
      <c r="AL239" s="23"/>
      <c r="AM239" s="23"/>
      <c r="AN239" s="23"/>
    </row>
    <row r="240" spans="1:40" x14ac:dyDescent="0.2">
      <c r="A240" s="18" t="s">
        <v>122</v>
      </c>
      <c r="B240" s="13"/>
      <c r="C240" s="10"/>
      <c r="E240" s="11"/>
      <c r="G240" s="30"/>
      <c r="H240" s="943">
        <f>'Combining FST'!Q136</f>
        <v>0</v>
      </c>
      <c r="I240" s="943">
        <f>'Elimination Entries to FST'!J241</f>
        <v>0</v>
      </c>
      <c r="J240" s="196">
        <f>SUM(G240:I240)</f>
        <v>0</v>
      </c>
      <c r="K240" s="12" t="e">
        <f>HLOOKUP($K$23,'HEI-PY FST $'!$A$1:$AB$257,213,FALSE)</f>
        <v>#N/A</v>
      </c>
      <c r="L240" s="12" t="e">
        <f>G240-K240</f>
        <v>#N/A</v>
      </c>
      <c r="M240" s="912" t="e">
        <f>IF(L240=0,0,IF((AND(K240=0,G240&gt;0)),1,IF((AND(K240=0,G240&lt;0)),-1,L240/ABS(K240))))</f>
        <v>#N/A</v>
      </c>
      <c r="N240" s="915" t="e">
        <f>IF(OR((ABS(L240)&gt;19800000),AND(ABS(L240)&gt;9900000,ABS(M240)&gt;0.1)),"yes","-")</f>
        <v>#N/A</v>
      </c>
      <c r="O240" s="23"/>
      <c r="P240" s="12" t="e">
        <f>HLOOKUP($K$23,'Foundation-PY FST $'!$A$1:$AB$230,188,FALSE)</f>
        <v>#N/A</v>
      </c>
      <c r="Q240" s="12" t="e">
        <f>H240-P240</f>
        <v>#N/A</v>
      </c>
      <c r="R240" s="912" t="e">
        <f>IF(Q240=0,0,IF((AND(P240=0,H240&gt;0)),1,IF((AND(P240=0,H240&lt;0)),-1,Q240/ABS(P240))))</f>
        <v>#N/A</v>
      </c>
      <c r="S240" s="915" t="e">
        <f>IF(OR((ABS(Q240)&gt;19800000),AND(ABS(Q240)&gt;9900000,ABS(R240)&gt;0.1)),"yes","-")</f>
        <v>#N/A</v>
      </c>
      <c r="T240" s="23"/>
      <c r="U240" s="23"/>
      <c r="V240" s="23"/>
      <c r="W240" s="23"/>
      <c r="X240" s="23"/>
      <c r="Y240" s="23"/>
      <c r="Z240" s="23"/>
      <c r="AA240" s="23"/>
      <c r="AB240" s="23"/>
      <c r="AC240" s="23"/>
      <c r="AD240" s="23"/>
      <c r="AE240" s="23"/>
      <c r="AF240" s="23"/>
      <c r="AG240" s="23"/>
      <c r="AH240" s="23"/>
      <c r="AI240" s="23"/>
      <c r="AJ240" s="23"/>
      <c r="AK240" s="23"/>
      <c r="AL240" s="23"/>
      <c r="AM240" s="23"/>
      <c r="AN240" s="23"/>
    </row>
    <row r="241" spans="1:40" x14ac:dyDescent="0.2">
      <c r="A241" s="18" t="s">
        <v>642</v>
      </c>
      <c r="B241" s="13"/>
      <c r="C241" s="10"/>
      <c r="E241" s="5"/>
      <c r="G241" s="30"/>
      <c r="H241" s="943">
        <f>'Combining FST'!Q137</f>
        <v>0</v>
      </c>
      <c r="I241" s="943">
        <f>'Elimination Entries to FST'!J242</f>
        <v>0</v>
      </c>
      <c r="J241" s="196">
        <f>SUM(G241:I241)</f>
        <v>0</v>
      </c>
      <c r="K241" s="12" t="e">
        <f>HLOOKUP($K$23,'HEI-PY FST $'!$A$1:$AB$257,214,FALSE)</f>
        <v>#N/A</v>
      </c>
      <c r="L241" s="12" t="e">
        <f>G241-K241</f>
        <v>#N/A</v>
      </c>
      <c r="M241" s="912" t="e">
        <f>IF(L241=0,0,IF((AND(K241=0,G241&gt;0)),1,IF((AND(K241=0,G241&lt;0)),-1,L241/ABS(K241))))</f>
        <v>#N/A</v>
      </c>
      <c r="N241" s="915" t="e">
        <f>IF(OR((ABS(L241)&gt;19800000),AND(ABS(L241)&gt;9900000,ABS(M241)&gt;0.1)),"yes","-")</f>
        <v>#N/A</v>
      </c>
      <c r="O241" s="23"/>
      <c r="P241" s="12" t="e">
        <f>HLOOKUP($K$23,'Foundation-PY FST $'!$A$1:$AB$230,189,FALSE)</f>
        <v>#N/A</v>
      </c>
      <c r="Q241" s="12" t="e">
        <f>H241-P241</f>
        <v>#N/A</v>
      </c>
      <c r="R241" s="912" t="e">
        <f>IF(Q241=0,0,IF((AND(P241=0,H241&gt;0)),1,IF((AND(P241=0,H241&lt;0)),-1,Q241/ABS(P241))))</f>
        <v>#N/A</v>
      </c>
      <c r="S241" s="915" t="e">
        <f>IF(OR((ABS(Q241)&gt;19800000),AND(ABS(Q241)&gt;9900000,ABS(R241)&gt;0.1)),"yes","-")</f>
        <v>#N/A</v>
      </c>
      <c r="T241" s="23"/>
      <c r="U241" s="23"/>
      <c r="V241" s="23"/>
      <c r="W241" s="23"/>
      <c r="X241" s="23"/>
      <c r="Y241" s="23"/>
      <c r="Z241" s="23"/>
      <c r="AA241" s="23"/>
      <c r="AB241" s="23"/>
      <c r="AC241" s="23"/>
      <c r="AD241" s="23"/>
      <c r="AE241" s="23"/>
      <c r="AF241" s="23"/>
      <c r="AG241" s="23"/>
      <c r="AH241" s="23"/>
      <c r="AI241" s="23"/>
      <c r="AJ241" s="23"/>
      <c r="AK241" s="23"/>
      <c r="AL241" s="23"/>
      <c r="AM241" s="23"/>
      <c r="AN241" s="23"/>
    </row>
    <row r="242" spans="1:40" x14ac:dyDescent="0.2">
      <c r="A242" s="1"/>
      <c r="B242" s="13"/>
      <c r="E242" s="11"/>
      <c r="M242" s="941"/>
      <c r="N242" s="942"/>
      <c r="O242" s="23"/>
      <c r="R242" s="941"/>
      <c r="S242" s="942"/>
      <c r="T242" s="23"/>
      <c r="U242" s="23"/>
      <c r="V242" s="23"/>
      <c r="W242" s="23"/>
      <c r="X242" s="23"/>
      <c r="Y242" s="23"/>
      <c r="Z242" s="23"/>
      <c r="AA242" s="23"/>
      <c r="AB242" s="23"/>
      <c r="AC242" s="23"/>
      <c r="AD242" s="23"/>
      <c r="AE242" s="23"/>
      <c r="AF242" s="23"/>
      <c r="AG242" s="23"/>
      <c r="AH242" s="23"/>
      <c r="AI242" s="23"/>
      <c r="AJ242" s="23"/>
      <c r="AK242" s="23"/>
      <c r="AL242" s="23"/>
      <c r="AM242" s="23"/>
      <c r="AN242" s="23"/>
    </row>
    <row r="243" spans="1:40" x14ac:dyDescent="0.2">
      <c r="A243" s="1" t="s">
        <v>474</v>
      </c>
      <c r="B243" s="25"/>
      <c r="E243" s="11"/>
      <c r="G243" s="26">
        <f>SUM(G235:G237)-SUM(G240,G241)</f>
        <v>0</v>
      </c>
      <c r="H243" s="26">
        <f t="shared" ref="H243:L243" si="59">SUM(H235:H237)-SUM(H240,H241)</f>
        <v>0</v>
      </c>
      <c r="I243" s="26">
        <f t="shared" si="59"/>
        <v>0</v>
      </c>
      <c r="J243" s="26">
        <f t="shared" si="59"/>
        <v>0</v>
      </c>
      <c r="K243" s="26" t="e">
        <f>SUM(K235:K237)-SUM(K240,K241)</f>
        <v>#N/A</v>
      </c>
      <c r="L243" s="26" t="e">
        <f t="shared" si="59"/>
        <v>#N/A</v>
      </c>
      <c r="M243" s="921" t="e">
        <f>IF(L243=0,0,IF((AND(K243=0,G243&gt;0)),1,IF((AND(K243=0,G243&lt;0)),-1,L243/ABS(K243))))</f>
        <v>#N/A</v>
      </c>
      <c r="N243" s="942"/>
      <c r="O243" s="23"/>
      <c r="P243" s="26" t="e">
        <f>SUM(P235:P237)-SUM(P240,P241)</f>
        <v>#N/A</v>
      </c>
      <c r="Q243" s="26" t="e">
        <f>SUM(Q235:Q237)-SUM(Q240,Q241)</f>
        <v>#N/A</v>
      </c>
      <c r="R243" s="921" t="e">
        <f>IF(Q243=0,0,IF((AND(P243=0,H243&gt;0)),1,IF((AND(P243=0,H243&lt;0)),-1,Q243/ABS(P243))))</f>
        <v>#N/A</v>
      </c>
      <c r="S243" s="942"/>
      <c r="T243" s="23"/>
      <c r="U243" s="23"/>
      <c r="V243" s="23"/>
      <c r="W243" s="23"/>
      <c r="X243" s="23"/>
      <c r="Y243" s="23"/>
      <c r="Z243" s="23"/>
      <c r="AA243" s="23"/>
      <c r="AB243" s="23"/>
      <c r="AC243" s="23"/>
      <c r="AD243" s="23"/>
      <c r="AE243" s="23"/>
      <c r="AF243" s="23"/>
      <c r="AG243" s="23"/>
      <c r="AH243" s="23"/>
      <c r="AI243" s="23"/>
      <c r="AJ243" s="23"/>
      <c r="AK243" s="23"/>
      <c r="AL243" s="23"/>
      <c r="AM243" s="23"/>
      <c r="AN243" s="23"/>
    </row>
    <row r="244" spans="1:40" x14ac:dyDescent="0.2">
      <c r="A244" s="10"/>
      <c r="B244" s="25"/>
      <c r="E244" s="11"/>
      <c r="M244" s="941"/>
      <c r="N244" s="942"/>
      <c r="O244" s="23"/>
      <c r="R244" s="941"/>
      <c r="S244" s="942"/>
      <c r="T244" s="23"/>
      <c r="U244" s="23"/>
      <c r="V244" s="23"/>
      <c r="W244" s="23"/>
      <c r="X244" s="23"/>
      <c r="Y244" s="23"/>
      <c r="Z244" s="23"/>
      <c r="AA244" s="23"/>
      <c r="AB244" s="23"/>
      <c r="AC244" s="23"/>
      <c r="AD244" s="23"/>
      <c r="AE244" s="23"/>
      <c r="AF244" s="23"/>
      <c r="AG244" s="23"/>
      <c r="AH244" s="23"/>
      <c r="AI244" s="23"/>
      <c r="AJ244" s="23"/>
      <c r="AK244" s="23"/>
      <c r="AL244" s="23"/>
      <c r="AM244" s="23"/>
      <c r="AN244" s="23"/>
    </row>
    <row r="245" spans="1:40" x14ac:dyDescent="0.2">
      <c r="A245" s="1" t="s">
        <v>465</v>
      </c>
      <c r="B245" s="10"/>
      <c r="E245" s="11"/>
      <c r="M245" s="941"/>
      <c r="N245" s="942"/>
      <c r="O245" s="23"/>
      <c r="R245" s="941"/>
      <c r="S245" s="942"/>
      <c r="T245" s="23"/>
      <c r="U245" s="23"/>
      <c r="V245" s="23"/>
      <c r="W245" s="23"/>
      <c r="X245" s="23"/>
      <c r="Y245" s="23"/>
      <c r="Z245" s="23"/>
      <c r="AA245" s="23"/>
      <c r="AB245" s="23"/>
      <c r="AC245" s="23"/>
      <c r="AD245" s="23"/>
      <c r="AE245" s="23"/>
      <c r="AF245" s="23"/>
      <c r="AG245" s="23"/>
      <c r="AH245" s="23"/>
      <c r="AI245" s="23"/>
      <c r="AJ245" s="23"/>
      <c r="AK245" s="23"/>
      <c r="AL245" s="23"/>
      <c r="AM245" s="23"/>
      <c r="AN245" s="23"/>
    </row>
    <row r="246" spans="1:40" x14ac:dyDescent="0.2">
      <c r="A246" s="13" t="s">
        <v>540</v>
      </c>
      <c r="E246" s="11"/>
      <c r="L246" s="209"/>
      <c r="M246" s="914"/>
      <c r="N246" s="944"/>
      <c r="O246" s="331"/>
      <c r="P246" s="196"/>
      <c r="Q246" s="209"/>
      <c r="R246" s="914"/>
      <c r="S246" s="944"/>
      <c r="T246" s="331"/>
      <c r="U246" s="23"/>
      <c r="V246" s="23"/>
      <c r="W246" s="23"/>
      <c r="X246" s="23"/>
      <c r="Y246" s="23"/>
      <c r="Z246" s="23"/>
      <c r="AA246" s="23"/>
      <c r="AB246" s="23"/>
      <c r="AC246" s="23"/>
      <c r="AD246" s="23"/>
      <c r="AE246" s="23"/>
      <c r="AF246" s="23"/>
      <c r="AG246" s="23"/>
      <c r="AH246" s="23"/>
      <c r="AI246" s="23"/>
      <c r="AJ246" s="23"/>
      <c r="AK246" s="23"/>
      <c r="AL246" s="23"/>
      <c r="AM246" s="23"/>
      <c r="AN246" s="23"/>
    </row>
    <row r="247" spans="1:40" x14ac:dyDescent="0.2">
      <c r="A247" s="23" t="s">
        <v>1388</v>
      </c>
      <c r="B247" s="10"/>
      <c r="E247" s="11"/>
      <c r="M247" s="941"/>
      <c r="N247" s="942"/>
      <c r="O247" s="23"/>
      <c r="R247" s="941"/>
      <c r="S247" s="942"/>
      <c r="T247" s="23"/>
      <c r="U247" s="23"/>
      <c r="V247" s="23"/>
      <c r="W247" s="23"/>
      <c r="X247" s="23"/>
      <c r="Y247" s="23"/>
      <c r="Z247" s="23"/>
      <c r="AA247" s="23"/>
      <c r="AB247" s="23"/>
      <c r="AC247" s="23"/>
      <c r="AD247" s="23"/>
      <c r="AE247" s="23"/>
      <c r="AF247" s="23"/>
      <c r="AG247" s="23"/>
      <c r="AH247" s="23"/>
      <c r="AI247" s="23"/>
      <c r="AJ247" s="23"/>
      <c r="AK247" s="23"/>
      <c r="AL247" s="23"/>
      <c r="AM247" s="23"/>
      <c r="AN247" s="23"/>
    </row>
    <row r="248" spans="1:40" x14ac:dyDescent="0.2">
      <c r="A248" s="10"/>
      <c r="B248" s="23" t="s">
        <v>1023</v>
      </c>
      <c r="C248" s="13"/>
      <c r="D248" s="13"/>
      <c r="E248" s="274" t="s">
        <v>535</v>
      </c>
      <c r="G248" s="30"/>
      <c r="H248" s="197"/>
      <c r="I248" s="943">
        <f>'Elimination Entries to FST'!J249</f>
        <v>0</v>
      </c>
      <c r="J248" s="196">
        <f t="shared" ref="J248:J262" si="60">SUM(G248:I248)</f>
        <v>0</v>
      </c>
      <c r="K248" s="12" t="e">
        <f>HLOOKUP($K$23,'HEI-PY FST $'!$A$1:$AB$257,221,FALSE)</f>
        <v>#N/A</v>
      </c>
      <c r="L248" s="12" t="e">
        <f t="shared" ref="L248:L266" si="61">G248-K248</f>
        <v>#N/A</v>
      </c>
      <c r="M248" s="912" t="e">
        <f t="shared" ref="M248:M254" si="62">IF(L248=0,0,IF((AND(K248=0,G248&gt;0)),1,IF((AND(K248=0,G248&lt;0)),-1,L248/ABS(K248))))</f>
        <v>#N/A</v>
      </c>
      <c r="N248" s="915" t="e">
        <f>IF(OR((ABS(L248)&gt;19800000),AND(ABS(L248)&gt;9900000,ABS(M248)&gt;0.1)),"yes","-")</f>
        <v>#N/A</v>
      </c>
      <c r="O248" s="23"/>
      <c r="Q248" s="17"/>
      <c r="R248" s="931"/>
      <c r="S248" s="944"/>
      <c r="T248" s="23"/>
      <c r="U248" s="23"/>
      <c r="V248" s="23"/>
      <c r="W248" s="23"/>
      <c r="X248" s="23"/>
      <c r="Y248" s="23"/>
      <c r="Z248" s="23"/>
      <c r="AA248" s="23"/>
      <c r="AB248" s="23"/>
      <c r="AC248" s="23"/>
      <c r="AD248" s="23"/>
      <c r="AE248" s="23"/>
      <c r="AF248" s="23"/>
      <c r="AG248" s="23"/>
      <c r="AH248" s="23"/>
      <c r="AI248" s="23"/>
      <c r="AJ248" s="23"/>
      <c r="AK248" s="23"/>
      <c r="AL248" s="23"/>
      <c r="AM248" s="23"/>
      <c r="AN248" s="23"/>
    </row>
    <row r="249" spans="1:40" x14ac:dyDescent="0.2">
      <c r="A249" s="10"/>
      <c r="B249" s="23" t="s">
        <v>1132</v>
      </c>
      <c r="C249" s="13"/>
      <c r="D249" s="13"/>
      <c r="E249" s="274" t="s">
        <v>535</v>
      </c>
      <c r="G249" s="30"/>
      <c r="H249" s="197"/>
      <c r="I249" s="943">
        <f>'Elimination Entries to FST'!J250</f>
        <v>0</v>
      </c>
      <c r="J249" s="196">
        <f t="shared" si="60"/>
        <v>0</v>
      </c>
      <c r="K249" s="12" t="e">
        <f>HLOOKUP($K$23,'HEI-PY FST $'!$A$1:$AB$257,222,FALSE)</f>
        <v>#N/A</v>
      </c>
      <c r="L249" s="12" t="e">
        <f t="shared" si="61"/>
        <v>#N/A</v>
      </c>
      <c r="M249" s="912" t="e">
        <f t="shared" si="62"/>
        <v>#N/A</v>
      </c>
      <c r="N249" s="915" t="e">
        <f>IF(OR((ABS(L249)&gt;19800000),AND(ABS(L249)&gt;9900000,ABS(M249)&gt;0.1)),"yes","-")</f>
        <v>#N/A</v>
      </c>
      <c r="O249" s="23"/>
      <c r="Q249" s="17"/>
      <c r="R249" s="931"/>
      <c r="S249" s="944"/>
      <c r="T249" s="23"/>
      <c r="U249" s="23"/>
      <c r="V249" s="23"/>
      <c r="W249" s="23"/>
      <c r="X249" s="23"/>
      <c r="Y249" s="23"/>
      <c r="Z249" s="23"/>
      <c r="AA249" s="23"/>
      <c r="AB249" s="23"/>
      <c r="AC249" s="23"/>
      <c r="AD249" s="23"/>
      <c r="AE249" s="23"/>
      <c r="AF249" s="23"/>
      <c r="AG249" s="23"/>
      <c r="AH249" s="23"/>
      <c r="AI249" s="23"/>
      <c r="AJ249" s="23"/>
      <c r="AK249" s="23"/>
      <c r="AL249" s="23"/>
      <c r="AM249" s="23"/>
      <c r="AN249" s="23"/>
    </row>
    <row r="250" spans="1:40" x14ac:dyDescent="0.2">
      <c r="A250" s="10"/>
      <c r="B250" s="23" t="s">
        <v>1133</v>
      </c>
      <c r="C250" s="13"/>
      <c r="D250" s="13"/>
      <c r="E250" s="274" t="s">
        <v>535</v>
      </c>
      <c r="G250" s="30"/>
      <c r="H250" s="197"/>
      <c r="I250" s="943">
        <f>'Elimination Entries to FST'!J251</f>
        <v>0</v>
      </c>
      <c r="J250" s="196">
        <f t="shared" si="60"/>
        <v>0</v>
      </c>
      <c r="K250" s="12" t="e">
        <f>HLOOKUP($K$23,'HEI-PY FST $'!$A$1:$AB$257,223,FALSE)</f>
        <v>#N/A</v>
      </c>
      <c r="L250" s="12" t="e">
        <f t="shared" si="61"/>
        <v>#N/A</v>
      </c>
      <c r="M250" s="912" t="e">
        <f t="shared" si="62"/>
        <v>#N/A</v>
      </c>
      <c r="N250" s="915" t="e">
        <f>IF(OR((ABS(L250)&gt;19800000),AND(ABS(L250)&gt;9900000,ABS(M250)&gt;0.1)),"yes","-")</f>
        <v>#N/A</v>
      </c>
      <c r="O250" s="23"/>
      <c r="Q250" s="17"/>
      <c r="R250" s="931"/>
      <c r="S250" s="944"/>
      <c r="T250" s="23"/>
      <c r="U250" s="23"/>
      <c r="V250" s="23"/>
      <c r="W250" s="23"/>
      <c r="X250" s="23"/>
      <c r="Y250" s="23"/>
      <c r="Z250" s="23"/>
      <c r="AA250" s="23"/>
      <c r="AB250" s="23"/>
      <c r="AC250" s="23"/>
      <c r="AD250" s="23"/>
      <c r="AE250" s="23"/>
      <c r="AF250" s="23"/>
      <c r="AG250" s="23"/>
      <c r="AH250" s="23"/>
      <c r="AI250" s="23"/>
      <c r="AJ250" s="23"/>
      <c r="AK250" s="23"/>
      <c r="AL250" s="23"/>
      <c r="AM250" s="23"/>
      <c r="AN250" s="23"/>
    </row>
    <row r="251" spans="1:40" hidden="1" x14ac:dyDescent="0.2">
      <c r="A251" s="10"/>
      <c r="B251" s="10"/>
      <c r="C251" s="10"/>
      <c r="D251" s="10"/>
      <c r="E251" s="10"/>
      <c r="F251" s="10"/>
      <c r="G251" s="984"/>
      <c r="H251" s="10"/>
      <c r="I251" s="10"/>
      <c r="J251" s="10"/>
      <c r="K251" s="10"/>
      <c r="L251" s="10"/>
      <c r="M251" s="10"/>
      <c r="N251" s="10"/>
      <c r="O251" s="23"/>
      <c r="Q251" s="17"/>
      <c r="R251" s="931"/>
      <c r="S251" s="944"/>
      <c r="T251" s="23"/>
      <c r="U251" s="23"/>
      <c r="V251" s="23"/>
      <c r="W251" s="23"/>
      <c r="X251" s="23"/>
      <c r="Y251" s="23"/>
      <c r="Z251" s="23"/>
      <c r="AA251" s="23"/>
      <c r="AB251" s="23"/>
      <c r="AC251" s="23"/>
      <c r="AD251" s="23"/>
      <c r="AE251" s="23"/>
      <c r="AF251" s="23"/>
      <c r="AG251" s="23"/>
      <c r="AH251" s="23"/>
      <c r="AI251" s="23"/>
      <c r="AJ251" s="23"/>
      <c r="AK251" s="23"/>
      <c r="AL251" s="23"/>
      <c r="AM251" s="23"/>
      <c r="AN251" s="23"/>
    </row>
    <row r="252" spans="1:40" hidden="1" x14ac:dyDescent="0.2">
      <c r="A252" s="10"/>
      <c r="B252" s="10"/>
      <c r="C252" s="10"/>
      <c r="D252" s="10"/>
      <c r="E252" s="10"/>
      <c r="F252" s="10"/>
      <c r="G252" s="984"/>
      <c r="H252" s="10"/>
      <c r="I252" s="10"/>
      <c r="J252" s="10"/>
      <c r="K252" s="10"/>
      <c r="L252" s="10"/>
      <c r="M252" s="10"/>
      <c r="N252" s="10"/>
      <c r="O252" s="23"/>
      <c r="Q252" s="17"/>
      <c r="R252" s="931"/>
      <c r="S252" s="944"/>
      <c r="T252" s="23"/>
      <c r="U252" s="23"/>
      <c r="V252" s="23"/>
      <c r="W252" s="23"/>
      <c r="X252" s="23"/>
      <c r="Y252" s="23"/>
      <c r="Z252" s="23"/>
      <c r="AA252" s="23"/>
      <c r="AB252" s="23"/>
      <c r="AC252" s="23"/>
      <c r="AD252" s="23"/>
      <c r="AE252" s="23"/>
      <c r="AF252" s="23"/>
      <c r="AG252" s="23"/>
      <c r="AH252" s="23"/>
      <c r="AI252" s="23"/>
      <c r="AJ252" s="23"/>
      <c r="AK252" s="23"/>
      <c r="AL252" s="23"/>
      <c r="AM252" s="23"/>
      <c r="AN252" s="23"/>
    </row>
    <row r="253" spans="1:40" x14ac:dyDescent="0.2">
      <c r="A253" s="10"/>
      <c r="B253" s="13" t="s">
        <v>482</v>
      </c>
      <c r="C253" s="13"/>
      <c r="D253" s="13"/>
      <c r="E253" s="274" t="s">
        <v>535</v>
      </c>
      <c r="G253" s="30"/>
      <c r="H253" s="197"/>
      <c r="I253" s="943">
        <f>'Elimination Entries to FST'!J254</f>
        <v>0</v>
      </c>
      <c r="J253" s="196">
        <f>SUM(G253:I253)</f>
        <v>0</v>
      </c>
      <c r="K253" s="12" t="e">
        <f>HLOOKUP($K$23,'HEI-PY FST $'!$A$1:$AB$257,226,FALSE)</f>
        <v>#N/A</v>
      </c>
      <c r="L253" s="12" t="e">
        <f>G253-K253</f>
        <v>#N/A</v>
      </c>
      <c r="M253" s="912" t="e">
        <f t="shared" si="62"/>
        <v>#N/A</v>
      </c>
      <c r="N253" s="915" t="e">
        <f>IF(OR((ABS(L253)&gt;19800000),AND(ABS(L253)&gt;9900000,ABS(M253)&gt;0.1)),"yes","-")</f>
        <v>#N/A</v>
      </c>
      <c r="O253" s="23"/>
      <c r="Q253" s="17"/>
      <c r="R253" s="931"/>
      <c r="S253" s="944"/>
      <c r="T253" s="23"/>
      <c r="U253" s="23"/>
      <c r="V253" s="23"/>
      <c r="W253" s="23"/>
      <c r="X253" s="23"/>
      <c r="Y253" s="23"/>
      <c r="Z253" s="23"/>
      <c r="AA253" s="23"/>
      <c r="AB253" s="23"/>
      <c r="AC253" s="23"/>
      <c r="AD253" s="23"/>
      <c r="AE253" s="23"/>
      <c r="AF253" s="23"/>
      <c r="AG253" s="23"/>
      <c r="AH253" s="23"/>
      <c r="AI253" s="23"/>
      <c r="AJ253" s="23"/>
      <c r="AK253" s="23"/>
      <c r="AL253" s="23"/>
      <c r="AM253" s="23"/>
      <c r="AN253" s="23"/>
    </row>
    <row r="254" spans="1:40" x14ac:dyDescent="0.2">
      <c r="A254" s="13" t="s">
        <v>39</v>
      </c>
      <c r="B254" s="13"/>
      <c r="E254" s="274" t="s">
        <v>535</v>
      </c>
      <c r="G254" s="30"/>
      <c r="H254" s="197"/>
      <c r="I254" s="943">
        <f>'Elimination Entries to FST'!J255</f>
        <v>0</v>
      </c>
      <c r="J254" s="196">
        <f>SUM(G254:I254)</f>
        <v>0</v>
      </c>
      <c r="K254" s="12" t="e">
        <f>HLOOKUP($K$23,'HEI-PY FST $'!$A$1:$AB$257,227,FALSE)</f>
        <v>#N/A</v>
      </c>
      <c r="L254" s="12" t="e">
        <f>G254-K254</f>
        <v>#N/A</v>
      </c>
      <c r="M254" s="912" t="e">
        <f t="shared" si="62"/>
        <v>#N/A</v>
      </c>
      <c r="N254" s="915" t="e">
        <f>IF(OR((ABS(L254)&gt;19800000),AND(ABS(L254)&gt;9900000,ABS(M254)&gt;0.1)),"yes","-")</f>
        <v>#N/A</v>
      </c>
      <c r="O254" s="23"/>
      <c r="Q254" s="17"/>
      <c r="R254" s="931"/>
      <c r="S254" s="944"/>
      <c r="T254" s="23"/>
      <c r="U254" s="23"/>
      <c r="V254" s="23"/>
      <c r="W254" s="23"/>
      <c r="X254" s="23"/>
      <c r="Y254" s="23"/>
      <c r="Z254" s="23"/>
      <c r="AA254" s="23"/>
      <c r="AB254" s="23"/>
      <c r="AC254" s="23"/>
      <c r="AD254" s="23"/>
      <c r="AE254" s="23"/>
      <c r="AF254" s="23"/>
      <c r="AG254" s="23"/>
      <c r="AH254" s="23"/>
      <c r="AI254" s="23"/>
      <c r="AJ254" s="23"/>
      <c r="AK254" s="23"/>
      <c r="AL254" s="23"/>
      <c r="AM254" s="23"/>
      <c r="AN254" s="23"/>
    </row>
    <row r="255" spans="1:40" x14ac:dyDescent="0.2">
      <c r="A255" s="13" t="s">
        <v>38</v>
      </c>
      <c r="B255" s="13"/>
      <c r="E255" s="11"/>
      <c r="G255" s="196"/>
      <c r="H255" s="196"/>
      <c r="I255" s="196"/>
      <c r="J255" s="196"/>
      <c r="K255" s="209"/>
      <c r="L255" s="209"/>
      <c r="M255" s="914"/>
      <c r="N255" s="944"/>
      <c r="O255" s="23"/>
      <c r="Q255" s="17"/>
      <c r="R255" s="931"/>
      <c r="S255" s="944"/>
      <c r="T255" s="23"/>
      <c r="U255" s="23"/>
      <c r="V255" s="23"/>
      <c r="W255" s="23"/>
      <c r="X255" s="23"/>
      <c r="Y255" s="23"/>
      <c r="Z255" s="23"/>
      <c r="AA255" s="23"/>
      <c r="AB255" s="23"/>
      <c r="AC255" s="23"/>
      <c r="AD255" s="23"/>
      <c r="AE255" s="23"/>
      <c r="AF255" s="23"/>
      <c r="AG255" s="23"/>
      <c r="AH255" s="23"/>
      <c r="AI255" s="23"/>
      <c r="AJ255" s="23"/>
      <c r="AK255" s="23"/>
      <c r="AL255" s="23"/>
      <c r="AM255" s="23"/>
      <c r="AN255" s="23"/>
    </row>
    <row r="256" spans="1:40" x14ac:dyDescent="0.2">
      <c r="A256" s="10"/>
      <c r="B256" s="13" t="s">
        <v>276</v>
      </c>
      <c r="E256" s="274" t="s">
        <v>326</v>
      </c>
      <c r="G256" s="30"/>
      <c r="H256" s="197"/>
      <c r="I256" s="943">
        <f>'Elimination Entries to FST'!J257</f>
        <v>0</v>
      </c>
      <c r="J256" s="196">
        <f t="shared" si="60"/>
        <v>0</v>
      </c>
      <c r="K256" s="12" t="e">
        <f>HLOOKUP($K$23,'HEI-PY FST $'!$A$1:$AB$257,229,FALSE)</f>
        <v>#N/A</v>
      </c>
      <c r="L256" s="12" t="e">
        <f t="shared" si="61"/>
        <v>#N/A</v>
      </c>
      <c r="M256" s="912" t="e">
        <f>IF(L256=0,0,IF((AND(K256=0,G256&gt;0)),1,IF((AND(K256=0,G256&lt;0)),-1,L256/ABS(K256))))</f>
        <v>#N/A</v>
      </c>
      <c r="N256" s="915" t="e">
        <f>IF(OR((ABS(L256)&gt;19800000),AND(ABS(L256)&gt;9900000,ABS(M256)&gt;0.1)),"yes","-")</f>
        <v>#N/A</v>
      </c>
      <c r="O256" s="23"/>
      <c r="Q256" s="17"/>
      <c r="R256" s="931"/>
      <c r="S256" s="944"/>
      <c r="T256" s="23"/>
      <c r="U256" s="23"/>
      <c r="V256" s="23"/>
      <c r="W256" s="23"/>
      <c r="X256" s="23"/>
      <c r="Y256" s="23"/>
      <c r="Z256" s="23"/>
      <c r="AA256" s="23"/>
      <c r="AB256" s="23"/>
      <c r="AC256" s="23"/>
      <c r="AD256" s="23"/>
      <c r="AE256" s="23"/>
      <c r="AF256" s="23"/>
      <c r="AG256" s="23"/>
      <c r="AH256" s="23"/>
      <c r="AI256" s="23"/>
      <c r="AJ256" s="23"/>
      <c r="AK256" s="23"/>
      <c r="AL256" s="23"/>
      <c r="AM256" s="23"/>
      <c r="AN256" s="23"/>
    </row>
    <row r="257" spans="1:40" x14ac:dyDescent="0.2">
      <c r="A257" s="10"/>
      <c r="B257" s="13" t="s">
        <v>277</v>
      </c>
      <c r="E257" s="274" t="s">
        <v>326</v>
      </c>
      <c r="G257" s="30"/>
      <c r="H257" s="197"/>
      <c r="I257" s="943">
        <f>'Elimination Entries to FST'!J258</f>
        <v>0</v>
      </c>
      <c r="J257" s="196">
        <f t="shared" si="60"/>
        <v>0</v>
      </c>
      <c r="K257" s="12" t="e">
        <f>HLOOKUP($K$23,'HEI-PY FST $'!$A$1:$AB$257,230,FALSE)</f>
        <v>#N/A</v>
      </c>
      <c r="L257" s="12" t="e">
        <f t="shared" si="61"/>
        <v>#N/A</v>
      </c>
      <c r="M257" s="912" t="e">
        <f>IF(L257=0,0,IF((AND(K257=0,G257&gt;0)),1,IF((AND(K257=0,G257&lt;0)),-1,L257/ABS(K257))))</f>
        <v>#N/A</v>
      </c>
      <c r="N257" s="915" t="e">
        <f>IF(OR((ABS(L257)&gt;19800000),AND(ABS(L257)&gt;9900000,ABS(M257)&gt;0.1)),"yes","-")</f>
        <v>#N/A</v>
      </c>
      <c r="O257" s="23"/>
      <c r="Q257" s="17"/>
      <c r="R257" s="931"/>
      <c r="S257" s="944"/>
      <c r="T257" s="23"/>
      <c r="U257" s="23"/>
      <c r="V257" s="23"/>
      <c r="W257" s="23"/>
      <c r="X257" s="23"/>
      <c r="Y257" s="23"/>
      <c r="Z257" s="23"/>
      <c r="AA257" s="23"/>
      <c r="AB257" s="23"/>
      <c r="AC257" s="23"/>
      <c r="AD257" s="23"/>
      <c r="AE257" s="23"/>
      <c r="AF257" s="23"/>
      <c r="AG257" s="23"/>
      <c r="AH257" s="23"/>
      <c r="AI257" s="23"/>
      <c r="AJ257" s="23"/>
      <c r="AK257" s="23"/>
      <c r="AL257" s="23"/>
      <c r="AM257" s="23"/>
      <c r="AN257" s="23"/>
    </row>
    <row r="258" spans="1:40" x14ac:dyDescent="0.2">
      <c r="A258" s="10"/>
      <c r="B258" s="13" t="s">
        <v>278</v>
      </c>
      <c r="E258" s="274" t="s">
        <v>326</v>
      </c>
      <c r="G258" s="30"/>
      <c r="H258" s="197"/>
      <c r="I258" s="943">
        <f>'Elimination Entries to FST'!J259</f>
        <v>0</v>
      </c>
      <c r="J258" s="196">
        <f t="shared" si="60"/>
        <v>0</v>
      </c>
      <c r="K258" s="12" t="e">
        <f>HLOOKUP($K$23,'HEI-PY FST $'!$A$1:$AB$257,231,FALSE)</f>
        <v>#N/A</v>
      </c>
      <c r="L258" s="12" t="e">
        <f t="shared" si="61"/>
        <v>#N/A</v>
      </c>
      <c r="M258" s="912" t="e">
        <f>IF(L258=0,0,IF((AND(K258=0,G258&gt;0)),1,IF((AND(K258=0,G258&lt;0)),-1,L258/ABS(K258))))</f>
        <v>#N/A</v>
      </c>
      <c r="N258" s="915" t="e">
        <f>IF(OR((ABS(L258)&gt;19800000),AND(ABS(L258)&gt;9900000,ABS(M258)&gt;0.1)),"yes","-")</f>
        <v>#N/A</v>
      </c>
      <c r="O258" s="23"/>
      <c r="Q258" s="17"/>
      <c r="R258" s="931"/>
      <c r="S258" s="944"/>
      <c r="T258" s="23"/>
      <c r="U258" s="23"/>
      <c r="V258" s="23"/>
      <c r="W258" s="23"/>
      <c r="X258" s="23"/>
      <c r="Y258" s="23"/>
      <c r="Z258" s="23"/>
      <c r="AA258" s="23"/>
      <c r="AB258" s="23"/>
      <c r="AC258" s="23"/>
      <c r="AD258" s="23"/>
      <c r="AE258" s="23"/>
      <c r="AF258" s="23"/>
      <c r="AG258" s="23"/>
      <c r="AH258" s="23"/>
      <c r="AI258" s="23"/>
      <c r="AJ258" s="23"/>
      <c r="AK258" s="23"/>
      <c r="AL258" s="23"/>
      <c r="AM258" s="23"/>
      <c r="AN258" s="23"/>
    </row>
    <row r="259" spans="1:40" x14ac:dyDescent="0.2">
      <c r="A259" s="10"/>
      <c r="B259" s="13" t="s">
        <v>534</v>
      </c>
      <c r="E259" s="274" t="s">
        <v>326</v>
      </c>
      <c r="G259" s="30"/>
      <c r="H259" s="197"/>
      <c r="I259" s="943">
        <f>'Elimination Entries to FST'!J260</f>
        <v>0</v>
      </c>
      <c r="J259" s="196">
        <f t="shared" si="60"/>
        <v>0</v>
      </c>
      <c r="K259" s="12" t="e">
        <f>HLOOKUP($K$23,'HEI-PY FST $'!$A$1:$AB$257,232,FALSE)</f>
        <v>#N/A</v>
      </c>
      <c r="L259" s="12" t="e">
        <f t="shared" si="61"/>
        <v>#N/A</v>
      </c>
      <c r="M259" s="912" t="e">
        <f>IF(L259=0,0,IF((AND(K259=0,G259&gt;0)),1,IF((AND(K259=0,G259&lt;0)),-1,L259/ABS(K259))))</f>
        <v>#N/A</v>
      </c>
      <c r="N259" s="915" t="e">
        <f>IF(OR((ABS(L259)&gt;19800000),AND(ABS(L259)&gt;9900000,ABS(M259)&gt;0.1)),"yes","-")</f>
        <v>#N/A</v>
      </c>
      <c r="O259" s="23"/>
      <c r="Q259" s="17"/>
      <c r="R259" s="931"/>
      <c r="S259" s="944"/>
      <c r="T259" s="23"/>
      <c r="U259" s="23"/>
      <c r="V259" s="23"/>
      <c r="W259" s="23"/>
      <c r="X259" s="23"/>
      <c r="Y259" s="23"/>
      <c r="Z259" s="23"/>
      <c r="AA259" s="23"/>
      <c r="AB259" s="23"/>
      <c r="AC259" s="23"/>
      <c r="AD259" s="23"/>
      <c r="AE259" s="23"/>
      <c r="AF259" s="23"/>
      <c r="AG259" s="23"/>
      <c r="AH259" s="23"/>
      <c r="AI259" s="23"/>
      <c r="AJ259" s="23"/>
      <c r="AK259" s="23"/>
      <c r="AL259" s="23"/>
      <c r="AM259" s="23"/>
      <c r="AN259" s="23"/>
    </row>
    <row r="260" spans="1:40" x14ac:dyDescent="0.2">
      <c r="A260" s="10"/>
      <c r="B260" s="13"/>
      <c r="E260" s="11"/>
      <c r="G260" s="196"/>
      <c r="H260" s="196"/>
      <c r="I260" s="196"/>
      <c r="J260" s="196"/>
      <c r="K260" s="209"/>
      <c r="L260" s="209"/>
      <c r="M260" s="914"/>
      <c r="N260" s="944"/>
      <c r="O260" s="331"/>
      <c r="P260" s="196"/>
      <c r="Q260" s="209"/>
      <c r="R260" s="914"/>
      <c r="S260" s="944"/>
      <c r="T260" s="23"/>
      <c r="U260" s="23"/>
      <c r="V260" s="23"/>
      <c r="W260" s="23"/>
      <c r="X260" s="23"/>
      <c r="Y260" s="23"/>
      <c r="Z260" s="23"/>
      <c r="AA260" s="23"/>
      <c r="AB260" s="23"/>
      <c r="AC260" s="23"/>
      <c r="AD260" s="23"/>
      <c r="AE260" s="23"/>
      <c r="AF260" s="23"/>
      <c r="AG260" s="23"/>
      <c r="AH260" s="23"/>
      <c r="AI260" s="23"/>
      <c r="AJ260" s="23"/>
      <c r="AK260" s="23"/>
      <c r="AL260" s="23"/>
      <c r="AM260" s="23"/>
      <c r="AN260" s="23"/>
    </row>
    <row r="261" spans="1:40" x14ac:dyDescent="0.2">
      <c r="A261" s="24" t="s">
        <v>536</v>
      </c>
      <c r="B261" s="13"/>
      <c r="E261" s="401"/>
      <c r="G261" s="30"/>
      <c r="H261" s="943">
        <f>'Combining FST'!Q143</f>
        <v>0</v>
      </c>
      <c r="I261" s="943">
        <f>'Elimination Entries to FST'!J262</f>
        <v>0</v>
      </c>
      <c r="J261" s="196">
        <f t="shared" si="60"/>
        <v>0</v>
      </c>
      <c r="K261" s="12" t="e">
        <f>HLOOKUP($K$23,'HEI-PY FST $'!$A$1:$AB$257,234,FALSE)</f>
        <v>#N/A</v>
      </c>
      <c r="L261" s="12" t="e">
        <f t="shared" si="61"/>
        <v>#N/A</v>
      </c>
      <c r="M261" s="912" t="e">
        <f t="shared" ref="M261:M266" si="63">IF(L261=0,0,IF((AND(K261=0,G261&gt;0)),1,IF((AND(K261=0,G261&lt;0)),-1,L261/ABS(K261))))</f>
        <v>#N/A</v>
      </c>
      <c r="N261" s="915" t="e">
        <f t="shared" ref="N261:N266" si="64">IF(OR((ABS(L261)&gt;19800000),AND(ABS(L261)&gt;9900000,ABS(M261)&gt;0.1)),"yes","-")</f>
        <v>#N/A</v>
      </c>
      <c r="O261" s="23"/>
      <c r="P261" s="12" t="e">
        <f>HLOOKUP($K$23,'Foundation-PY FST $'!$A$1:$AB$230,208,FALSE)</f>
        <v>#N/A</v>
      </c>
      <c r="Q261" s="12" t="e">
        <f t="shared" ref="Q261:Q266" si="65">H261-P261</f>
        <v>#N/A</v>
      </c>
      <c r="R261" s="912" t="e">
        <f t="shared" ref="R261:R266" si="66">IF(Q261=0,0,IF((AND(P261=0,H261&gt;0)),1,IF((AND(P261=0,H261&lt;0)),-1,Q261/ABS(P261))))</f>
        <v>#N/A</v>
      </c>
      <c r="S261" s="915" t="e">
        <f>IF(OR((ABS(Q261)&gt;19800000),AND(ABS(Q261)&gt;9900000,ABS(R261)&gt;0.1)),"yes","-")</f>
        <v>#N/A</v>
      </c>
      <c r="T261" s="23"/>
      <c r="U261" s="23"/>
      <c r="V261" s="23"/>
      <c r="W261" s="23"/>
      <c r="X261" s="23"/>
      <c r="Y261" s="23"/>
      <c r="Z261" s="23"/>
      <c r="AA261" s="23"/>
      <c r="AB261" s="23"/>
      <c r="AC261" s="23"/>
      <c r="AD261" s="23"/>
      <c r="AE261" s="23"/>
      <c r="AF261" s="23"/>
      <c r="AG261" s="23"/>
      <c r="AH261" s="23"/>
      <c r="AI261" s="23"/>
      <c r="AJ261" s="23"/>
      <c r="AK261" s="23"/>
      <c r="AL261" s="23"/>
      <c r="AM261" s="23"/>
      <c r="AN261" s="23"/>
    </row>
    <row r="262" spans="1:40" x14ac:dyDescent="0.2">
      <c r="A262" s="24" t="s">
        <v>537</v>
      </c>
      <c r="B262" s="18"/>
      <c r="E262" s="11"/>
      <c r="G262" s="30"/>
      <c r="H262" s="943">
        <f>'Combining FST'!Q144</f>
        <v>0</v>
      </c>
      <c r="I262" s="943">
        <f>'Elimination Entries to FST'!J263</f>
        <v>0</v>
      </c>
      <c r="J262" s="196">
        <f t="shared" si="60"/>
        <v>0</v>
      </c>
      <c r="K262" s="12" t="e">
        <f>HLOOKUP($K$23,'HEI-PY FST $'!$A$1:$AB$257,235,FALSE)</f>
        <v>#N/A</v>
      </c>
      <c r="L262" s="12" t="e">
        <f t="shared" si="61"/>
        <v>#N/A</v>
      </c>
      <c r="M262" s="912" t="e">
        <f t="shared" si="63"/>
        <v>#N/A</v>
      </c>
      <c r="N262" s="915" t="e">
        <f t="shared" si="64"/>
        <v>#N/A</v>
      </c>
      <c r="O262" s="23"/>
      <c r="P262" s="12" t="e">
        <f>HLOOKUP($K$23,'Foundation-PY FST $'!$A$1:$AB$230,209,FALSE)</f>
        <v>#N/A</v>
      </c>
      <c r="Q262" s="12" t="e">
        <f t="shared" si="65"/>
        <v>#N/A</v>
      </c>
      <c r="R262" s="912" t="e">
        <f t="shared" si="66"/>
        <v>#N/A</v>
      </c>
      <c r="S262" s="915" t="e">
        <f>IF(OR((ABS(Q262)&gt;19800000),AND(ABS(Q262)&gt;9900000,ABS(R262)&gt;0.1)),"yes","-")</f>
        <v>#N/A</v>
      </c>
      <c r="T262" s="23"/>
      <c r="U262" s="23"/>
      <c r="V262" s="23"/>
      <c r="W262" s="23"/>
      <c r="X262" s="23"/>
      <c r="Y262" s="23"/>
      <c r="Z262" s="23"/>
      <c r="AA262" s="23"/>
      <c r="AB262" s="23"/>
      <c r="AC262" s="23"/>
      <c r="AD262" s="23"/>
      <c r="AE262" s="23"/>
      <c r="AF262" s="23"/>
      <c r="AG262" s="23"/>
      <c r="AH262" s="23"/>
      <c r="AI262" s="23"/>
      <c r="AJ262" s="23"/>
      <c r="AK262" s="23"/>
      <c r="AL262" s="23"/>
      <c r="AM262" s="23"/>
      <c r="AN262" s="23"/>
    </row>
    <row r="263" spans="1:40" x14ac:dyDescent="0.2">
      <c r="A263" s="24" t="s">
        <v>1716</v>
      </c>
      <c r="B263" s="18"/>
      <c r="E263" s="11"/>
      <c r="G263" s="30"/>
      <c r="H263" s="197"/>
      <c r="I263" s="943">
        <f>'Elimination Entries to FST'!J264</f>
        <v>0</v>
      </c>
      <c r="J263" s="196">
        <f>SUM(G263:I263)</f>
        <v>0</v>
      </c>
      <c r="K263" s="12" t="e">
        <f>HLOOKUP($K$23,'HEI-PY FST $'!$A$1:$AB$257,236,FALSE)</f>
        <v>#N/A</v>
      </c>
      <c r="L263" s="12" t="e">
        <f>G263-K263</f>
        <v>#N/A</v>
      </c>
      <c r="M263" s="912" t="e">
        <f>IF(L263=0,0,IF((AND(K263=0,G263&gt;0)),1,IF((AND(K263=0,G263&lt;0)),-1,L263/ABS(K263))))</f>
        <v>#N/A</v>
      </c>
      <c r="N263" s="915" t="e">
        <f t="shared" si="64"/>
        <v>#N/A</v>
      </c>
      <c r="O263" s="23"/>
      <c r="P263" s="12">
        <v>0</v>
      </c>
      <c r="Q263" s="12">
        <v>0</v>
      </c>
      <c r="R263" s="912">
        <v>0</v>
      </c>
      <c r="S263" s="915">
        <v>0</v>
      </c>
      <c r="T263" s="23"/>
      <c r="U263" s="23"/>
      <c r="V263" s="23"/>
      <c r="W263" s="23"/>
      <c r="X263" s="23"/>
      <c r="Y263" s="23"/>
      <c r="Z263" s="23"/>
      <c r="AA263" s="23"/>
      <c r="AB263" s="23"/>
      <c r="AC263" s="23"/>
      <c r="AD263" s="23"/>
      <c r="AE263" s="23"/>
      <c r="AF263" s="23"/>
      <c r="AG263" s="23"/>
      <c r="AH263" s="23"/>
      <c r="AI263" s="23"/>
      <c r="AJ263" s="23"/>
      <c r="AK263" s="23"/>
      <c r="AL263" s="23"/>
      <c r="AM263" s="23"/>
      <c r="AN263" s="23"/>
    </row>
    <row r="264" spans="1:40" x14ac:dyDescent="0.2">
      <c r="A264" s="24" t="s">
        <v>538</v>
      </c>
      <c r="B264" s="18"/>
      <c r="E264" s="11"/>
      <c r="G264" s="30"/>
      <c r="H264" s="943">
        <f>'Combining FST'!Q145</f>
        <v>0</v>
      </c>
      <c r="I264" s="943">
        <f>'Elimination Entries to FST'!J265</f>
        <v>0</v>
      </c>
      <c r="J264" s="196">
        <f>SUM(G264:I264)</f>
        <v>0</v>
      </c>
      <c r="K264" s="12" t="e">
        <f>HLOOKUP($K$23,'HEI-PY FST $'!$A$1:$AB$257,237,FALSE)</f>
        <v>#N/A</v>
      </c>
      <c r="L264" s="12" t="e">
        <f>G264-K264</f>
        <v>#N/A</v>
      </c>
      <c r="M264" s="912" t="e">
        <f>IF(L264=0,0,IF((AND(K264=0,G264&gt;0)),1,IF((AND(K264=0,G264&lt;0)),-1,L264/ABS(K264))))</f>
        <v>#N/A</v>
      </c>
      <c r="N264" s="915" t="e">
        <f t="shared" si="64"/>
        <v>#N/A</v>
      </c>
      <c r="O264" s="23"/>
      <c r="P264" s="12" t="e">
        <f>HLOOKUP($K$23,'Foundation-PY FST $'!$A$1:$AB$230,210,FALSE)</f>
        <v>#N/A</v>
      </c>
      <c r="Q264" s="12" t="e">
        <f>H264-P264</f>
        <v>#N/A</v>
      </c>
      <c r="R264" s="912" t="e">
        <f>IF(Q264=0,0,IF((AND(P264=0,H264&gt;0)),1,IF((AND(P264=0,H264&lt;0)),-1,Q264/ABS(P264))))</f>
        <v>#N/A</v>
      </c>
      <c r="S264" s="915" t="e">
        <f>IF(OR((ABS(Q264)&gt;19800000),AND(ABS(Q264)&gt;9900000,ABS(R264)&gt;0.1)),"yes","-")</f>
        <v>#N/A</v>
      </c>
      <c r="T264" s="23"/>
      <c r="U264" s="23"/>
      <c r="V264" s="23"/>
      <c r="W264" s="23"/>
      <c r="X264" s="23"/>
      <c r="Y264" s="23"/>
      <c r="Z264" s="23"/>
      <c r="AA264" s="23"/>
      <c r="AB264" s="23"/>
      <c r="AC264" s="23"/>
      <c r="AD264" s="23"/>
      <c r="AE264" s="23"/>
      <c r="AF264" s="23"/>
      <c r="AG264" s="23"/>
      <c r="AH264" s="23"/>
      <c r="AI264" s="23"/>
      <c r="AJ264" s="23"/>
      <c r="AK264" s="23"/>
      <c r="AL264" s="23"/>
      <c r="AM264" s="23"/>
      <c r="AN264" s="23"/>
    </row>
    <row r="265" spans="1:40" x14ac:dyDescent="0.2">
      <c r="A265" s="13" t="s">
        <v>539</v>
      </c>
      <c r="B265" s="18"/>
      <c r="E265" s="5"/>
      <c r="G265" s="30"/>
      <c r="H265" s="943">
        <f>'Combining FST'!Q146</f>
        <v>0</v>
      </c>
      <c r="I265" s="943">
        <f>'Elimination Entries to FST'!J266</f>
        <v>0</v>
      </c>
      <c r="J265" s="196">
        <f>SUM(G265:I265)</f>
        <v>0</v>
      </c>
      <c r="K265" s="12" t="e">
        <f>HLOOKUP($K$23,'HEI-PY FST $'!$A$1:$AB$257,238,FALSE)</f>
        <v>#N/A</v>
      </c>
      <c r="L265" s="12" t="e">
        <f>G265-K265</f>
        <v>#N/A</v>
      </c>
      <c r="M265" s="912" t="e">
        <f>IF(L265=0,0,IF((AND(K265=0,G265&gt;0)),1,IF((AND(K265=0,G265&lt;0)),-1,L265/ABS(K265))))</f>
        <v>#N/A</v>
      </c>
      <c r="N265" s="915" t="e">
        <f t="shared" si="64"/>
        <v>#N/A</v>
      </c>
      <c r="O265" s="23"/>
      <c r="P265" s="12" t="e">
        <f>HLOOKUP($K$23,'Foundation-PY FST $'!$A$1:$AB$230,211,FALSE)</f>
        <v>#N/A</v>
      </c>
      <c r="Q265" s="12" t="e">
        <f>H265-P265</f>
        <v>#N/A</v>
      </c>
      <c r="R265" s="912" t="e">
        <f>IF(Q265=0,0,IF((AND(P265=0,H265&gt;0)),1,IF((AND(P265=0,H265&lt;0)),-1,Q265/ABS(P265))))</f>
        <v>#N/A</v>
      </c>
      <c r="S265" s="915" t="e">
        <f>IF(OR((ABS(Q265)&gt;19800000),AND(ABS(Q265)&gt;9900000,ABS(R265)&gt;0.1)),"yes","-")</f>
        <v>#N/A</v>
      </c>
      <c r="T265" s="23"/>
      <c r="U265" s="23"/>
      <c r="V265" s="23"/>
      <c r="W265" s="23"/>
      <c r="X265" s="23"/>
      <c r="Y265" s="23"/>
      <c r="Z265" s="23"/>
      <c r="AA265" s="23"/>
      <c r="AB265" s="23"/>
      <c r="AC265" s="23"/>
      <c r="AD265" s="23"/>
      <c r="AE265" s="23"/>
      <c r="AF265" s="23"/>
      <c r="AG265" s="23"/>
      <c r="AH265" s="23"/>
      <c r="AI265" s="23"/>
      <c r="AJ265" s="23"/>
      <c r="AK265" s="23"/>
      <c r="AL265" s="23"/>
      <c r="AM265" s="23"/>
      <c r="AN265" s="23"/>
    </row>
    <row r="266" spans="1:40" x14ac:dyDescent="0.2">
      <c r="A266" s="24" t="s">
        <v>1372</v>
      </c>
      <c r="B266" s="18"/>
      <c r="E266" s="401"/>
      <c r="G266" s="30"/>
      <c r="H266" s="943">
        <f>'Combining FST'!Q147</f>
        <v>0</v>
      </c>
      <c r="I266" s="943">
        <f>'Elimination Entries to FST'!J267</f>
        <v>0</v>
      </c>
      <c r="J266" s="196">
        <f>SUM(G266:I266)</f>
        <v>0</v>
      </c>
      <c r="K266" s="12" t="e">
        <f>HLOOKUP($K$23,'HEI-PY FST $'!$A$1:$AB$257,239,FALSE)</f>
        <v>#N/A</v>
      </c>
      <c r="L266" s="12" t="e">
        <f t="shared" si="61"/>
        <v>#N/A</v>
      </c>
      <c r="M266" s="912" t="e">
        <f t="shared" si="63"/>
        <v>#N/A</v>
      </c>
      <c r="N266" s="915" t="e">
        <f t="shared" si="64"/>
        <v>#N/A</v>
      </c>
      <c r="O266" s="23"/>
      <c r="P266" s="12" t="e">
        <f>HLOOKUP($K$23,'Foundation-PY FST $'!$A$1:$AB$230,212,FALSE)</f>
        <v>#N/A</v>
      </c>
      <c r="Q266" s="12" t="e">
        <f t="shared" si="65"/>
        <v>#N/A</v>
      </c>
      <c r="R266" s="912" t="e">
        <f t="shared" si="66"/>
        <v>#N/A</v>
      </c>
      <c r="S266" s="915" t="e">
        <f>IF(OR((ABS(Q266)&gt;19800000),AND(ABS(Q266)&gt;9900000,ABS(R266)&gt;0.1)),"yes","-")</f>
        <v>#N/A</v>
      </c>
      <c r="T266" s="23"/>
      <c r="U266" s="23"/>
      <c r="V266" s="23"/>
      <c r="W266" s="23"/>
      <c r="X266" s="23"/>
      <c r="Y266" s="23"/>
      <c r="Z266" s="23"/>
      <c r="AA266" s="23"/>
      <c r="AB266" s="23"/>
      <c r="AC266" s="23"/>
      <c r="AD266" s="23"/>
      <c r="AE266" s="23"/>
      <c r="AF266" s="23"/>
      <c r="AG266" s="23"/>
      <c r="AH266" s="23"/>
      <c r="AI266" s="23"/>
      <c r="AJ266" s="23"/>
      <c r="AK266" s="23"/>
      <c r="AL266" s="23"/>
      <c r="AM266" s="23"/>
      <c r="AN266" s="23"/>
    </row>
    <row r="267" spans="1:40" x14ac:dyDescent="0.2">
      <c r="A267" s="24"/>
      <c r="B267" s="18"/>
      <c r="E267" s="11"/>
      <c r="F267" s="11"/>
      <c r="G267" s="11"/>
      <c r="H267" s="11"/>
      <c r="I267" s="11"/>
      <c r="J267" s="11"/>
      <c r="K267" s="11"/>
      <c r="L267" s="11"/>
      <c r="M267" s="11"/>
      <c r="N267" s="11"/>
      <c r="O267" s="11"/>
      <c r="P267" s="11"/>
      <c r="Q267" s="11"/>
      <c r="R267" s="11"/>
      <c r="S267" s="11"/>
      <c r="T267" s="23"/>
      <c r="U267" s="23"/>
      <c r="V267" s="23"/>
      <c r="W267" s="23"/>
      <c r="X267" s="23"/>
      <c r="Y267" s="23"/>
      <c r="Z267" s="23"/>
      <c r="AA267" s="23"/>
      <c r="AB267" s="23"/>
      <c r="AC267" s="23"/>
      <c r="AD267" s="23"/>
      <c r="AE267" s="23"/>
      <c r="AF267" s="23"/>
      <c r="AG267" s="23"/>
      <c r="AH267" s="23"/>
      <c r="AI267" s="23"/>
      <c r="AJ267" s="23"/>
      <c r="AK267" s="23"/>
      <c r="AL267" s="23"/>
      <c r="AM267" s="23"/>
      <c r="AN267" s="23"/>
    </row>
    <row r="268" spans="1:40" x14ac:dyDescent="0.2">
      <c r="A268" s="24"/>
      <c r="B268" s="18"/>
      <c r="E268" s="11"/>
      <c r="G268" s="27"/>
      <c r="H268" s="27"/>
      <c r="I268" s="27"/>
      <c r="J268" s="27"/>
      <c r="L268" s="209"/>
      <c r="M268" s="914"/>
      <c r="N268" s="944"/>
      <c r="O268" s="331"/>
      <c r="P268" s="196"/>
      <c r="Q268" s="209"/>
      <c r="R268" s="914"/>
      <c r="S268" s="944"/>
      <c r="T268" s="331"/>
      <c r="U268" s="928" t="s">
        <v>821</v>
      </c>
      <c r="V268" s="23"/>
      <c r="W268" s="23"/>
      <c r="X268" s="23"/>
      <c r="Y268" s="23"/>
      <c r="Z268" s="23"/>
      <c r="AA268" s="23"/>
      <c r="AB268" s="23"/>
      <c r="AC268" s="23"/>
      <c r="AD268" s="23"/>
      <c r="AE268" s="23"/>
      <c r="AF268" s="23"/>
      <c r="AG268" s="23"/>
      <c r="AH268" s="23"/>
      <c r="AI268" s="23"/>
      <c r="AJ268" s="23"/>
      <c r="AK268" s="23"/>
      <c r="AL268" s="23"/>
      <c r="AM268" s="23"/>
      <c r="AN268" s="23"/>
    </row>
    <row r="269" spans="1:40" ht="6" customHeight="1" x14ac:dyDescent="0.2">
      <c r="A269" s="24"/>
      <c r="B269" s="18"/>
      <c r="E269" s="11"/>
      <c r="G269" s="27"/>
      <c r="H269" s="27"/>
      <c r="I269" s="27"/>
      <c r="J269" s="27"/>
      <c r="L269" s="12"/>
      <c r="M269" s="912"/>
      <c r="N269" s="944"/>
      <c r="O269" s="23"/>
      <c r="Q269" s="12"/>
      <c r="R269" s="912"/>
      <c r="S269" s="944"/>
      <c r="T269" s="23"/>
      <c r="U269" s="410"/>
      <c r="V269" s="23"/>
      <c r="W269" s="23"/>
      <c r="X269" s="23"/>
      <c r="Y269" s="23"/>
      <c r="Z269" s="23"/>
      <c r="AA269" s="23"/>
      <c r="AB269" s="23"/>
      <c r="AC269" s="23"/>
      <c r="AD269" s="23"/>
      <c r="AE269" s="23"/>
      <c r="AF269" s="23"/>
      <c r="AG269" s="23"/>
      <c r="AH269" s="23"/>
      <c r="AI269" s="23"/>
      <c r="AJ269" s="23"/>
      <c r="AK269" s="23"/>
      <c r="AL269" s="23"/>
      <c r="AM269" s="23"/>
      <c r="AN269" s="23"/>
    </row>
    <row r="270" spans="1:40" x14ac:dyDescent="0.2">
      <c r="A270" s="13" t="s">
        <v>124</v>
      </c>
      <c r="B270" s="18"/>
      <c r="E270" s="11" t="s">
        <v>220</v>
      </c>
      <c r="G270" s="197"/>
      <c r="H270" s="943">
        <f>'Combining FST'!Q150</f>
        <v>0</v>
      </c>
      <c r="I270" s="943">
        <f>'Elimination Entries to FST'!J271</f>
        <v>0</v>
      </c>
      <c r="J270" s="27">
        <f>IF(SUM(G270:I270)=0,SUM(G270:I270),"ERROR")</f>
        <v>0</v>
      </c>
      <c r="L270" s="209"/>
      <c r="M270" s="914"/>
      <c r="N270" s="944"/>
      <c r="O270" s="23"/>
      <c r="P270" s="12" t="e">
        <f>HLOOKUP($K$23,'Foundation-PY FST $'!$A$1:$AB$230,216,FALSE)</f>
        <v>#N/A</v>
      </c>
      <c r="Q270" s="12" t="e">
        <f>H270-P270</f>
        <v>#N/A</v>
      </c>
      <c r="R270" s="912" t="e">
        <f>IF(Q270=0,0,IF((AND(P270=0,H270&gt;0)),1,IF((AND(P270=0,H270&lt;0)),-1,Q270/ABS(P270))))</f>
        <v>#N/A</v>
      </c>
      <c r="S270" s="915" t="e">
        <f>IF(OR((ABS(Q270)&gt;19800000),AND(ABS(Q270)&gt;9900000,ABS(R270)&gt;0.1)),"yes","-")</f>
        <v>#N/A</v>
      </c>
      <c r="T270" s="23"/>
      <c r="U270" s="929">
        <f>SUM(G270:I270)</f>
        <v>0</v>
      </c>
      <c r="V270" s="23"/>
      <c r="W270" s="23"/>
      <c r="X270" s="23"/>
      <c r="Y270" s="23"/>
      <c r="Z270" s="23"/>
      <c r="AA270" s="23"/>
      <c r="AB270" s="23"/>
      <c r="AC270" s="23"/>
      <c r="AD270" s="23"/>
      <c r="AE270" s="23"/>
      <c r="AF270" s="23"/>
      <c r="AG270" s="23"/>
      <c r="AH270" s="23"/>
      <c r="AI270" s="23"/>
      <c r="AJ270" s="23"/>
      <c r="AK270" s="23"/>
      <c r="AL270" s="23"/>
      <c r="AM270" s="23"/>
      <c r="AN270" s="23"/>
    </row>
    <row r="271" spans="1:40" x14ac:dyDescent="0.2">
      <c r="A271" s="13" t="s">
        <v>125</v>
      </c>
      <c r="B271" s="18"/>
      <c r="E271" s="11" t="s">
        <v>220</v>
      </c>
      <c r="G271" s="30"/>
      <c r="H271" s="943">
        <f>'Combining FST'!Q151</f>
        <v>0</v>
      </c>
      <c r="I271" s="943">
        <f>'Elimination Entries to FST'!J272</f>
        <v>0</v>
      </c>
      <c r="J271" s="27">
        <f>IF(SUM(G271:I271)=0,SUM(G271:I271),"ERROR")</f>
        <v>0</v>
      </c>
      <c r="K271" s="12" t="e">
        <f>HLOOKUP($K$23,'HEI-PY FST $'!$A$1:$AB$257,244,FALSE)</f>
        <v>#N/A</v>
      </c>
      <c r="L271" s="12" t="e">
        <f>G271-K271</f>
        <v>#N/A</v>
      </c>
      <c r="M271" s="912" t="e">
        <f>IF(L271=0,0,IF((AND(K271=0,G271&gt;0)),1,IF((AND(K271=0,G271&lt;0)),-1,L271/ABS(K271))))</f>
        <v>#N/A</v>
      </c>
      <c r="N271" s="915" t="e">
        <f>IF(OR((ABS(L271)&gt;19800000),AND(ABS(L271)&gt;9900000,ABS(M271)&gt;0.1)),"yes","-")</f>
        <v>#N/A</v>
      </c>
      <c r="O271" s="23"/>
      <c r="P271" s="12" t="e">
        <f>HLOOKUP($K$23,'Foundation-PY FST $'!$A$1:$AB$230,217,FALSE)</f>
        <v>#N/A</v>
      </c>
      <c r="Q271" s="12" t="e">
        <f>H271-P271</f>
        <v>#N/A</v>
      </c>
      <c r="R271" s="912" t="e">
        <f>IF(Q271=0,0,IF((AND(P271=0,H271&gt;0)),1,IF((AND(P271=0,H271&lt;0)),-1,Q271/ABS(P271))))</f>
        <v>#N/A</v>
      </c>
      <c r="S271" s="915" t="e">
        <f>IF(OR((ABS(Q271)&gt;19800000),AND(ABS(Q271)&gt;9900000,ABS(R271)&gt;0.1)),"yes","-")</f>
        <v>#N/A</v>
      </c>
      <c r="T271" s="23"/>
      <c r="U271" s="945">
        <f>SUM(G271:I271)</f>
        <v>0</v>
      </c>
      <c r="V271" s="23"/>
      <c r="W271" s="23"/>
      <c r="X271" s="23"/>
      <c r="Y271" s="23"/>
      <c r="Z271" s="23"/>
      <c r="AA271" s="23"/>
      <c r="AB271" s="23"/>
      <c r="AC271" s="23"/>
      <c r="AD271" s="23"/>
      <c r="AE271" s="23"/>
      <c r="AF271" s="23"/>
      <c r="AG271" s="23"/>
      <c r="AH271" s="23"/>
      <c r="AI271" s="23"/>
      <c r="AJ271" s="23"/>
      <c r="AK271" s="23"/>
      <c r="AL271" s="23"/>
      <c r="AM271" s="23"/>
      <c r="AN271" s="23"/>
    </row>
    <row r="272" spans="1:40" x14ac:dyDescent="0.2">
      <c r="A272" s="13" t="s">
        <v>126</v>
      </c>
      <c r="B272" s="18"/>
      <c r="E272" s="11" t="s">
        <v>220</v>
      </c>
      <c r="G272" s="197"/>
      <c r="H272" s="943">
        <f>'Combining FST'!Q152</f>
        <v>0</v>
      </c>
      <c r="I272" s="943">
        <f>'Elimination Entries to FST'!J273</f>
        <v>0</v>
      </c>
      <c r="J272" s="27">
        <f>IF(SUM(G272:I272)=0,SUM(G272:I272),"ERROR")</f>
        <v>0</v>
      </c>
      <c r="L272" s="16"/>
      <c r="M272" s="925"/>
      <c r="N272" s="944"/>
      <c r="O272" s="210"/>
      <c r="P272" s="12" t="e">
        <f>HLOOKUP($K$23,'Foundation-PY FST $'!$A$1:$AB$230,218,FALSE)</f>
        <v>#N/A</v>
      </c>
      <c r="Q272" s="12" t="e">
        <f>H272-P272</f>
        <v>#N/A</v>
      </c>
      <c r="R272" s="912" t="e">
        <f>IF(Q272=0,0,IF((AND(P272=0,H272&gt;0)),1,IF((AND(P272=0,H272&lt;0)),-1,Q272/ABS(P272))))</f>
        <v>#N/A</v>
      </c>
      <c r="S272" s="915" t="e">
        <f>IF(OR((ABS(Q272)&gt;19800000),AND(ABS(Q272)&gt;9900000,ABS(R272)&gt;0.1)),"yes","-")</f>
        <v>#N/A</v>
      </c>
      <c r="T272" s="23"/>
      <c r="U272" s="945">
        <f>SUM(G272:I272)</f>
        <v>0</v>
      </c>
      <c r="V272" s="23"/>
      <c r="W272" s="23"/>
      <c r="X272" s="23"/>
      <c r="Y272" s="23"/>
      <c r="Z272" s="23"/>
      <c r="AA272" s="23"/>
      <c r="AB272" s="23"/>
      <c r="AC272" s="23"/>
      <c r="AD272" s="23"/>
      <c r="AE272" s="23"/>
      <c r="AF272" s="23"/>
      <c r="AG272" s="23"/>
      <c r="AH272" s="23"/>
      <c r="AI272" s="23"/>
      <c r="AJ272" s="23"/>
      <c r="AK272" s="23"/>
      <c r="AL272" s="23"/>
      <c r="AM272" s="23"/>
      <c r="AN272" s="23"/>
    </row>
    <row r="273" spans="1:40" x14ac:dyDescent="0.2">
      <c r="A273" s="13" t="s">
        <v>519</v>
      </c>
      <c r="B273" s="18"/>
      <c r="E273" s="11" t="s">
        <v>220</v>
      </c>
      <c r="G273" s="30"/>
      <c r="H273" s="943">
        <f>'Combining FST'!Q153</f>
        <v>0</v>
      </c>
      <c r="I273" s="943">
        <f>'Elimination Entries to FST'!J274</f>
        <v>0</v>
      </c>
      <c r="J273" s="27">
        <f>IF(SUM(G273:I273)=0,SUM(G273:I273),"ERROR")</f>
        <v>0</v>
      </c>
      <c r="K273" s="12" t="e">
        <f>HLOOKUP($K$23,'HEI-PY FST $'!$A$1:$AB$257,246,FALSE)</f>
        <v>#N/A</v>
      </c>
      <c r="L273" s="12" t="e">
        <f>G273-K273</f>
        <v>#N/A</v>
      </c>
      <c r="M273" s="912" t="e">
        <f>IF(L273=0,0,IF((AND(K273=0,G273&gt;0)),1,IF((AND(K273=0,G273&lt;0)),-1,L273/ABS(K273))))</f>
        <v>#N/A</v>
      </c>
      <c r="N273" s="915" t="e">
        <f>IF(OR((ABS(L273)&gt;19800000),AND(ABS(L273)&gt;9900000,ABS(M273)&gt;0.1)),"yes","-")</f>
        <v>#N/A</v>
      </c>
      <c r="O273" s="23"/>
      <c r="P273" s="12" t="e">
        <f>HLOOKUP($K$23,'Foundation-PY FST $'!$A$1:$AB$230,219,FALSE)</f>
        <v>#N/A</v>
      </c>
      <c r="Q273" s="12" t="e">
        <f>H273-P273</f>
        <v>#N/A</v>
      </c>
      <c r="R273" s="912" t="e">
        <f>IF(Q273=0,0,IF((AND(P273=0,H273&gt;0)),1,IF((AND(P273=0,H273&lt;0)),-1,Q273/ABS(P273))))</f>
        <v>#N/A</v>
      </c>
      <c r="S273" s="915" t="e">
        <f>IF(OR((ABS(Q273)&gt;19800000),AND(ABS(Q273)&gt;9900000,ABS(R273)&gt;0.1)),"yes","-")</f>
        <v>#N/A</v>
      </c>
      <c r="T273" s="23"/>
      <c r="U273" s="930">
        <f>SUM(G273:I273)</f>
        <v>0</v>
      </c>
      <c r="V273" s="23"/>
      <c r="W273" s="23"/>
      <c r="X273" s="23"/>
      <c r="Y273" s="23"/>
      <c r="Z273" s="23"/>
      <c r="AA273" s="23"/>
      <c r="AB273" s="23"/>
      <c r="AC273" s="23"/>
      <c r="AD273" s="23"/>
      <c r="AE273" s="23"/>
      <c r="AF273" s="23"/>
      <c r="AG273" s="23"/>
      <c r="AH273" s="23"/>
      <c r="AI273" s="23"/>
      <c r="AJ273" s="23"/>
      <c r="AK273" s="23"/>
      <c r="AL273" s="23"/>
      <c r="AM273" s="23"/>
      <c r="AN273" s="23"/>
    </row>
    <row r="274" spans="1:40" x14ac:dyDescent="0.2">
      <c r="A274" s="13"/>
      <c r="B274" s="18"/>
      <c r="E274" s="11"/>
      <c r="G274" s="196"/>
      <c r="H274" s="196"/>
      <c r="I274" s="196"/>
      <c r="J274" s="27"/>
      <c r="L274" s="12"/>
      <c r="M274" s="912"/>
      <c r="N274" s="944"/>
      <c r="O274" s="23"/>
      <c r="P274" s="12"/>
      <c r="Q274" s="12"/>
      <c r="R274" s="912"/>
      <c r="S274" s="944"/>
      <c r="T274" s="23"/>
      <c r="U274" s="23"/>
      <c r="V274" s="23"/>
      <c r="W274" s="23"/>
      <c r="X274" s="23"/>
      <c r="Y274" s="23"/>
      <c r="Z274" s="23"/>
      <c r="AA274" s="23"/>
      <c r="AB274" s="23"/>
      <c r="AC274" s="23"/>
      <c r="AD274" s="23"/>
      <c r="AE274" s="23"/>
      <c r="AF274" s="23"/>
      <c r="AG274" s="23"/>
      <c r="AH274" s="23"/>
      <c r="AI274" s="23"/>
      <c r="AJ274" s="23"/>
      <c r="AK274" s="23"/>
      <c r="AL274" s="23"/>
      <c r="AM274" s="23"/>
      <c r="AN274" s="23"/>
    </row>
    <row r="275" spans="1:40" hidden="1" x14ac:dyDescent="0.2">
      <c r="A275" s="23"/>
      <c r="B275" s="18"/>
      <c r="G275" s="2"/>
      <c r="H275" s="2"/>
      <c r="I275" s="2"/>
      <c r="J275" s="2"/>
      <c r="K275" s="2"/>
      <c r="L275" s="2"/>
      <c r="M275" s="2"/>
      <c r="N275" s="2"/>
      <c r="O275" s="23"/>
      <c r="P275" s="12" t="e">
        <f>HLOOKUP($K$23,'Foundation-PY FST $'!$A$1:$AB$230,221,FALSE)</f>
        <v>#N/A</v>
      </c>
      <c r="Q275" s="12" t="e">
        <f>H275-P275</f>
        <v>#N/A</v>
      </c>
      <c r="R275" s="912" t="e">
        <f>IF(Q275=0,0,IF((AND(P275=0,H275&gt;0)),1,IF((AND(P275=0,H275&lt;0)),-1,Q275/ABS(P275))))</f>
        <v>#N/A</v>
      </c>
      <c r="S275" s="915" t="e">
        <f>IF(OR((ABS(Q275)&gt;19800000),AND(ABS(Q275)&gt;9900000,ABS(R275)&gt;0.1)),"yes","-")</f>
        <v>#N/A</v>
      </c>
      <c r="T275" s="23"/>
      <c r="U275" s="23"/>
      <c r="V275" s="23"/>
      <c r="W275" s="23"/>
      <c r="X275" s="23"/>
      <c r="Y275" s="23"/>
      <c r="Z275" s="23"/>
      <c r="AA275" s="23"/>
      <c r="AB275" s="23"/>
      <c r="AC275" s="23"/>
      <c r="AD275" s="23"/>
      <c r="AE275" s="23"/>
      <c r="AF275" s="23"/>
      <c r="AG275" s="23"/>
      <c r="AH275" s="23"/>
      <c r="AI275" s="23"/>
      <c r="AJ275" s="23"/>
      <c r="AK275" s="23"/>
      <c r="AL275" s="23"/>
      <c r="AM275" s="23"/>
      <c r="AN275" s="23"/>
    </row>
    <row r="276" spans="1:40" hidden="1" x14ac:dyDescent="0.2">
      <c r="A276" s="23"/>
      <c r="B276" s="18"/>
      <c r="G276" s="2"/>
      <c r="H276" s="2"/>
      <c r="I276" s="2"/>
      <c r="J276" s="2"/>
      <c r="K276" s="2"/>
      <c r="L276" s="2"/>
      <c r="M276" s="2"/>
      <c r="N276" s="2"/>
      <c r="O276" s="23"/>
      <c r="P276" s="12" t="e">
        <f>HLOOKUP($K$23,'Foundation-PY FST $'!$A$1:$AB$230,222,FALSE)</f>
        <v>#N/A</v>
      </c>
      <c r="Q276" s="12" t="e">
        <f>H276-P276</f>
        <v>#N/A</v>
      </c>
      <c r="R276" s="912" t="e">
        <f>IF(Q276=0,0,IF((AND(P276=0,H276&gt;0)),1,IF((AND(P276=0,H276&lt;0)),-1,Q276/ABS(P276))))</f>
        <v>#N/A</v>
      </c>
      <c r="S276" s="915" t="e">
        <f>IF(OR((ABS(Q276)&gt;19800000),AND(ABS(Q276)&gt;9900000,ABS(R276)&gt;0.1)),"yes","-")</f>
        <v>#N/A</v>
      </c>
      <c r="T276" s="23"/>
      <c r="U276" s="23"/>
      <c r="V276" s="23"/>
      <c r="W276" s="23"/>
      <c r="X276" s="23"/>
      <c r="Y276" s="23"/>
      <c r="Z276" s="23"/>
      <c r="AA276" s="23"/>
      <c r="AB276" s="23"/>
      <c r="AC276" s="23"/>
      <c r="AD276" s="23"/>
      <c r="AE276" s="23"/>
      <c r="AF276" s="23"/>
      <c r="AG276" s="23"/>
      <c r="AH276" s="23"/>
      <c r="AI276" s="23"/>
      <c r="AJ276" s="23"/>
      <c r="AK276" s="23"/>
      <c r="AL276" s="23"/>
      <c r="AM276" s="23"/>
      <c r="AN276" s="23"/>
    </row>
    <row r="277" spans="1:40" ht="81.75" hidden="1" customHeight="1" x14ac:dyDescent="0.2">
      <c r="A277" s="1173" t="s">
        <v>1282</v>
      </c>
      <c r="B277" s="1174"/>
      <c r="C277" s="1174"/>
      <c r="D277" s="1174"/>
      <c r="E277" s="1175"/>
      <c r="G277" s="196"/>
      <c r="H277" s="196"/>
      <c r="I277" s="196"/>
      <c r="J277" s="27"/>
      <c r="L277" s="12"/>
      <c r="M277" s="912"/>
      <c r="N277" s="944"/>
      <c r="O277" s="23"/>
      <c r="Q277" s="12"/>
      <c r="R277" s="912"/>
      <c r="S277" s="944"/>
      <c r="T277" s="23"/>
      <c r="U277" s="23"/>
      <c r="V277" s="23"/>
      <c r="W277" s="23"/>
      <c r="X277" s="23"/>
      <c r="Y277" s="23"/>
      <c r="Z277" s="23"/>
      <c r="AA277" s="23"/>
      <c r="AB277" s="23"/>
      <c r="AC277" s="23"/>
      <c r="AD277" s="23"/>
      <c r="AE277" s="23"/>
      <c r="AF277" s="23"/>
      <c r="AG277" s="23"/>
      <c r="AH277" s="23"/>
      <c r="AI277" s="23"/>
      <c r="AJ277" s="23"/>
      <c r="AK277" s="23"/>
      <c r="AL277" s="23"/>
      <c r="AM277" s="23"/>
      <c r="AN277" s="23"/>
    </row>
    <row r="278" spans="1:40" x14ac:dyDescent="0.2">
      <c r="A278" s="24" t="s">
        <v>460</v>
      </c>
      <c r="B278" s="18"/>
      <c r="E278" s="665" t="str">
        <f>IF(G278&lt;&gt;0,"Answer Required","N/A")</f>
        <v>N/A</v>
      </c>
      <c r="G278" s="30"/>
      <c r="H278" s="943">
        <f>'Combining FST'!Q158</f>
        <v>0</v>
      </c>
      <c r="I278" s="943">
        <f>'Elimination Entries to FST'!J279</f>
        <v>0</v>
      </c>
      <c r="J278" s="27">
        <f>SUM(G278:I278)</f>
        <v>0</v>
      </c>
      <c r="K278" s="12" t="e">
        <f>HLOOKUP($K$23,'HEI-PY FST $'!$A$1:$AB$257,251,FALSE)</f>
        <v>#N/A</v>
      </c>
      <c r="L278" s="12" t="e">
        <f>G278-K278</f>
        <v>#N/A</v>
      </c>
      <c r="M278" s="912" t="e">
        <f t="shared" ref="M278:M283" si="67">IF(L278=0,0,IF((AND(K278=0,G278&gt;0)),1,IF((AND(K278=0,G278&lt;0)),-1,L278/ABS(K278))))</f>
        <v>#N/A</v>
      </c>
      <c r="N278" s="915" t="e">
        <f>IF(OR((ABS(L278)&gt;19800000),AND(ABS(L278)&gt;9900000,ABS(M278)&gt;0.1)),"yes","-")</f>
        <v>#N/A</v>
      </c>
      <c r="O278" s="23"/>
      <c r="P278" s="12" t="e">
        <f>HLOOKUP($K$23,'Foundation-PY FST $'!$A$1:$AB$230,224,FALSE)</f>
        <v>#N/A</v>
      </c>
      <c r="Q278" s="12" t="e">
        <f>H278-P278</f>
        <v>#N/A</v>
      </c>
      <c r="R278" s="912" t="e">
        <f>IF(Q278=0,0,IF((AND(P278=0,H278&gt;0)),1,IF((AND(P278=0,H278&lt;0)),-1,Q278/ABS(P278))))</f>
        <v>#N/A</v>
      </c>
      <c r="S278" s="915" t="e">
        <f>IF(OR((ABS(Q278)&gt;19800000),AND(ABS(Q278)&gt;9900000,ABS(R278)&gt;0.1)),"yes","-")</f>
        <v>#N/A</v>
      </c>
      <c r="T278" s="23"/>
      <c r="U278" s="23"/>
      <c r="V278" s="23"/>
      <c r="W278" s="23"/>
      <c r="X278" s="23"/>
      <c r="Y278" s="23"/>
      <c r="Z278" s="23"/>
      <c r="AA278" s="23"/>
      <c r="AB278" s="23"/>
      <c r="AC278" s="23"/>
      <c r="AD278" s="23"/>
      <c r="AE278" s="23"/>
      <c r="AF278" s="23"/>
      <c r="AG278" s="23"/>
      <c r="AH278" s="23"/>
      <c r="AI278" s="23"/>
      <c r="AJ278" s="23"/>
      <c r="AK278" s="23"/>
      <c r="AL278" s="23"/>
      <c r="AM278" s="23"/>
      <c r="AN278" s="23"/>
    </row>
    <row r="279" spans="1:40" x14ac:dyDescent="0.2">
      <c r="A279" s="24" t="s">
        <v>459</v>
      </c>
      <c r="B279" s="18"/>
      <c r="E279" s="665" t="str">
        <f>IF(G279&lt;&gt;0,"Answer Required","N/A")</f>
        <v>N/A</v>
      </c>
      <c r="G279" s="399"/>
      <c r="H279" s="943">
        <f>'Combining FST'!Q159</f>
        <v>0</v>
      </c>
      <c r="I279" s="943">
        <f>'Elimination Entries to FST'!J280</f>
        <v>0</v>
      </c>
      <c r="J279" s="27">
        <f>SUM(G279:I279)</f>
        <v>0</v>
      </c>
      <c r="K279" s="12" t="e">
        <f>HLOOKUP($K$23,'HEI-PY FST $'!$A$1:$AB$257,252,FALSE)</f>
        <v>#N/A</v>
      </c>
      <c r="L279" s="12" t="e">
        <f>G279-K279</f>
        <v>#N/A</v>
      </c>
      <c r="M279" s="912" t="e">
        <f>IF(L279=0,0,IF((AND(K279=0,G279&gt;0)),1,IF((AND(K279=0,G279&lt;0)),-1,L279/ABS(K279))))</f>
        <v>#N/A</v>
      </c>
      <c r="N279" s="915" t="e">
        <f>IF(OR((ABS(L279)&gt;19800000),AND(ABS(L279)&gt;9900000,ABS(M279)&gt;0.1)),"yes","-")</f>
        <v>#N/A</v>
      </c>
      <c r="O279" s="23"/>
      <c r="P279" s="12" t="e">
        <f>HLOOKUP($K$23,'Foundation-PY FST $'!$A$1:$AB$230,225,FALSE)</f>
        <v>#N/A</v>
      </c>
      <c r="Q279" s="12" t="e">
        <f>H279-P279</f>
        <v>#N/A</v>
      </c>
      <c r="R279" s="912" t="e">
        <f>IF(Q279=0,0,IF((AND(P279=0,H279&gt;0)),1,IF((AND(P279=0,H279&lt;0)),-1,Q279/ABS(P279))))</f>
        <v>#N/A</v>
      </c>
      <c r="S279" s="915" t="e">
        <f>IF(OR((ABS(Q279)&gt;19800000),AND(ABS(Q279)&gt;9900000,ABS(R279)&gt;0.1)),"yes","-")</f>
        <v>#N/A</v>
      </c>
      <c r="T279" s="23"/>
      <c r="U279" s="23"/>
      <c r="V279" s="23"/>
      <c r="W279" s="23"/>
      <c r="X279" s="23"/>
      <c r="Y279" s="23"/>
      <c r="Z279" s="23"/>
      <c r="AA279" s="23"/>
      <c r="AB279" s="23"/>
      <c r="AC279" s="23"/>
      <c r="AD279" s="23"/>
      <c r="AE279" s="23"/>
      <c r="AF279" s="23"/>
      <c r="AG279" s="23"/>
      <c r="AH279" s="23"/>
      <c r="AI279" s="23"/>
      <c r="AJ279" s="23"/>
      <c r="AK279" s="23"/>
      <c r="AL279" s="23"/>
      <c r="AM279" s="23"/>
      <c r="AN279" s="23"/>
    </row>
    <row r="280" spans="1:40" x14ac:dyDescent="0.2">
      <c r="A280" s="13" t="s">
        <v>632</v>
      </c>
      <c r="B280" s="13"/>
      <c r="E280" s="11"/>
      <c r="G280" s="26">
        <f t="shared" ref="G280:L280" si="68">SUM(G248:G279)</f>
        <v>0</v>
      </c>
      <c r="H280" s="26">
        <f t="shared" si="68"/>
        <v>0</v>
      </c>
      <c r="I280" s="26">
        <f t="shared" si="68"/>
        <v>0</v>
      </c>
      <c r="J280" s="26">
        <f t="shared" si="68"/>
        <v>0</v>
      </c>
      <c r="K280" s="26" t="e">
        <f>SUM(K248:K279)</f>
        <v>#N/A</v>
      </c>
      <c r="L280" s="26" t="e">
        <f t="shared" si="68"/>
        <v>#N/A</v>
      </c>
      <c r="M280" s="921" t="e">
        <f>IF(L280=0,0,IF((AND(K280=0,G280&gt;0)),1,IF((AND(K280=0,G280&lt;0)),-1,L280/ABS(K280))))</f>
        <v>#N/A</v>
      </c>
      <c r="N280" s="942"/>
      <c r="O280" s="23"/>
      <c r="P280" s="26" t="e">
        <f>SUM(P248:P279)</f>
        <v>#N/A</v>
      </c>
      <c r="Q280" s="26" t="e">
        <f>SUM(Q248:Q279)</f>
        <v>#N/A</v>
      </c>
      <c r="R280" s="921" t="e">
        <f>IF(Q280=0,0,IF((AND(P280=0,H280&gt;0)),1,IF((AND(P280=0,H280&lt;0)),-1,Q280/ABS(P280))))</f>
        <v>#N/A</v>
      </c>
      <c r="S280" s="942"/>
      <c r="T280" s="23"/>
      <c r="U280" s="23"/>
      <c r="V280" s="23"/>
      <c r="W280" s="23"/>
      <c r="X280" s="23"/>
      <c r="Y280" s="23"/>
      <c r="Z280" s="23"/>
      <c r="AA280" s="23"/>
      <c r="AB280" s="23"/>
      <c r="AC280" s="23"/>
      <c r="AD280" s="23"/>
      <c r="AE280" s="23"/>
      <c r="AF280" s="23"/>
      <c r="AG280" s="23"/>
      <c r="AH280" s="23"/>
      <c r="AI280" s="23"/>
      <c r="AJ280" s="23"/>
      <c r="AK280" s="23"/>
      <c r="AL280" s="23"/>
      <c r="AM280" s="23"/>
      <c r="AN280" s="23"/>
    </row>
    <row r="281" spans="1:40" x14ac:dyDescent="0.2">
      <c r="A281" s="24" t="s">
        <v>863</v>
      </c>
      <c r="B281" s="13"/>
      <c r="E281" s="11"/>
      <c r="G281" s="26">
        <f>SUM(G243,G280)</f>
        <v>0</v>
      </c>
      <c r="H281" s="26">
        <f t="shared" ref="H281:L281" si="69">SUM(H243,H280)</f>
        <v>0</v>
      </c>
      <c r="I281" s="26">
        <f t="shared" si="69"/>
        <v>0</v>
      </c>
      <c r="J281" s="26">
        <f t="shared" si="69"/>
        <v>0</v>
      </c>
      <c r="K281" s="26" t="e">
        <f>SUM(K243,K280)</f>
        <v>#N/A</v>
      </c>
      <c r="L281" s="26" t="e">
        <f t="shared" si="69"/>
        <v>#N/A</v>
      </c>
      <c r="M281" s="921" t="e">
        <f t="shared" si="67"/>
        <v>#N/A</v>
      </c>
      <c r="N281" s="942"/>
      <c r="O281" s="23"/>
      <c r="P281" s="26" t="e">
        <f>SUM(P243,P280)</f>
        <v>#N/A</v>
      </c>
      <c r="Q281" s="26" t="e">
        <f>SUM(Q243,Q280)</f>
        <v>#N/A</v>
      </c>
      <c r="R281" s="921" t="e">
        <f>IF(Q281=0,0,IF((AND(P281=0,H281&gt;0)),1,IF((AND(P281=0,H281&lt;0)),-1,Q281/ABS(P281))))</f>
        <v>#N/A</v>
      </c>
      <c r="S281" s="942"/>
      <c r="T281" s="23"/>
      <c r="U281" s="23"/>
      <c r="V281" s="23"/>
      <c r="W281" s="23"/>
      <c r="X281" s="23"/>
      <c r="Y281" s="23"/>
      <c r="Z281" s="23"/>
      <c r="AA281" s="23"/>
      <c r="AB281" s="23"/>
      <c r="AC281" s="23"/>
      <c r="AD281" s="23"/>
      <c r="AE281" s="23"/>
      <c r="AF281" s="23"/>
      <c r="AG281" s="23"/>
      <c r="AH281" s="23"/>
      <c r="AI281" s="23"/>
      <c r="AJ281" s="23"/>
      <c r="AK281" s="23"/>
      <c r="AL281" s="23"/>
      <c r="AM281" s="23"/>
      <c r="AN281" s="23"/>
    </row>
    <row r="282" spans="1:40" x14ac:dyDescent="0.2">
      <c r="A282" s="24" t="s">
        <v>858</v>
      </c>
      <c r="B282" s="10"/>
      <c r="G282" s="30"/>
      <c r="H282" s="943">
        <f>'Combining FST'!Q162</f>
        <v>0</v>
      </c>
      <c r="I282" s="943">
        <f>'Elimination Entries to FST'!J283</f>
        <v>0</v>
      </c>
      <c r="J282" s="27">
        <f>SUM(G282:I282)</f>
        <v>0</v>
      </c>
      <c r="K282" s="12" t="e">
        <f>HLOOKUP($K$23,'HEI-PY FST $'!$A$1:$AB$257,255,FALSE)</f>
        <v>#N/A</v>
      </c>
      <c r="L282" s="12" t="e">
        <f>G282-K282</f>
        <v>#N/A</v>
      </c>
      <c r="M282" s="921" t="e">
        <f>IF(L282=0,0,IF((AND(K282=0,G282&gt;0)),1,IF((AND(K282=0,G282&lt;0)),-1,L282/ABS(K282))))</f>
        <v>#N/A</v>
      </c>
      <c r="N282" s="942"/>
      <c r="O282" s="23"/>
      <c r="P282" s="12" t="e">
        <f>HLOOKUP($K$23,'Foundation-PY FST $'!$A$1:$AB$230,228,FALSE)</f>
        <v>#N/A</v>
      </c>
      <c r="Q282" s="12" t="e">
        <f>H282-P282</f>
        <v>#N/A</v>
      </c>
      <c r="R282" s="921" t="e">
        <f t="shared" ref="R282:R283" si="70">IF(Q282=0,0,IF((AND(P282=0,H282&gt;0)),1,IF((AND(P282=0,H282&lt;0)),-1,Q282/ABS(P282))))</f>
        <v>#N/A</v>
      </c>
      <c r="S282" s="942"/>
      <c r="T282" s="23"/>
      <c r="U282" s="23"/>
      <c r="V282" s="23"/>
      <c r="W282" s="23"/>
      <c r="X282" s="23"/>
      <c r="Y282" s="23"/>
      <c r="Z282" s="23"/>
      <c r="AA282" s="23"/>
      <c r="AB282" s="23"/>
      <c r="AC282" s="23"/>
      <c r="AD282" s="23"/>
      <c r="AE282" s="23"/>
      <c r="AF282" s="23"/>
      <c r="AG282" s="23"/>
      <c r="AH282" s="23"/>
      <c r="AI282" s="23"/>
      <c r="AJ282" s="23"/>
      <c r="AK282" s="23"/>
      <c r="AL282" s="23"/>
      <c r="AM282" s="23"/>
      <c r="AN282" s="23"/>
    </row>
    <row r="283" spans="1:40" ht="12.75" thickBot="1" x14ac:dyDescent="0.25">
      <c r="A283" s="24" t="s">
        <v>859</v>
      </c>
      <c r="B283" s="10"/>
      <c r="E283" s="11"/>
      <c r="G283" s="28">
        <f>IF(SUM(G281:G282)=G225,SUM(G281,G282),"ERROR")</f>
        <v>0</v>
      </c>
      <c r="H283" s="28">
        <f>IF(SUM(H281:H282)=H225,SUM(H281,H282),"ERROR")</f>
        <v>0</v>
      </c>
      <c r="I283" s="28">
        <f t="shared" ref="I283:L283" si="71">IF(SUM(I281:I282)=I225,SUM(I281,I282),"ERROR")</f>
        <v>0</v>
      </c>
      <c r="J283" s="28">
        <f>IF(SUM(J281:J282)=J225,SUM(J281,J282),"ERROR")</f>
        <v>0</v>
      </c>
      <c r="K283" s="28" t="e">
        <f>IF(SUM(K281:K282)=K225,SUM(K281,K282),"ERROR")</f>
        <v>#N/A</v>
      </c>
      <c r="L283" s="28" t="e">
        <f t="shared" si="71"/>
        <v>#N/A</v>
      </c>
      <c r="M283" s="935" t="e">
        <f t="shared" si="67"/>
        <v>#N/A</v>
      </c>
      <c r="N283" s="942"/>
      <c r="O283" s="23"/>
      <c r="P283" s="28" t="e">
        <f>IF(SUM(P281:P282)=P225,SUM(P281,P282),"ERROR")</f>
        <v>#N/A</v>
      </c>
      <c r="Q283" s="28" t="e">
        <f>IF(SUM(Q281:Q282)=Q225,SUM(Q281,Q282),"ERROR")</f>
        <v>#N/A</v>
      </c>
      <c r="R283" s="935" t="e">
        <f t="shared" si="70"/>
        <v>#N/A</v>
      </c>
      <c r="S283" s="942"/>
      <c r="T283" s="23"/>
      <c r="U283" s="23"/>
      <c r="V283" s="23"/>
      <c r="W283" s="23"/>
      <c r="X283" s="23"/>
      <c r="Y283" s="23"/>
      <c r="Z283" s="23"/>
      <c r="AA283" s="23"/>
      <c r="AB283" s="23"/>
      <c r="AC283" s="23"/>
      <c r="AD283" s="23"/>
      <c r="AE283" s="23"/>
      <c r="AF283" s="23"/>
      <c r="AG283" s="23"/>
      <c r="AH283" s="23"/>
      <c r="AI283" s="23"/>
      <c r="AJ283" s="23"/>
      <c r="AK283" s="23"/>
      <c r="AL283" s="23"/>
      <c r="AM283" s="23"/>
      <c r="AN283" s="23"/>
    </row>
    <row r="284" spans="1:40" ht="12.75" thickTop="1" x14ac:dyDescent="0.2">
      <c r="E284" s="11"/>
      <c r="I284" s="275"/>
      <c r="M284" s="23"/>
      <c r="N284" s="942"/>
      <c r="O284" s="23"/>
      <c r="R284" s="23"/>
      <c r="S284" s="942"/>
      <c r="T284" s="23"/>
      <c r="U284" s="23"/>
      <c r="V284" s="23"/>
      <c r="W284" s="23"/>
      <c r="X284" s="23"/>
      <c r="Y284" s="23"/>
      <c r="Z284" s="23"/>
      <c r="AA284" s="23"/>
      <c r="AB284" s="23"/>
      <c r="AC284" s="23"/>
      <c r="AD284" s="23"/>
      <c r="AE284" s="23"/>
      <c r="AF284" s="23"/>
      <c r="AG284" s="23"/>
      <c r="AH284" s="23"/>
      <c r="AI284" s="23"/>
      <c r="AJ284" s="23"/>
      <c r="AK284" s="23"/>
      <c r="AL284" s="23"/>
      <c r="AM284" s="23"/>
      <c r="AN284" s="23"/>
    </row>
    <row r="285" spans="1:40" x14ac:dyDescent="0.2">
      <c r="E285" s="409" t="s">
        <v>861</v>
      </c>
      <c r="G285" s="411">
        <f>SUM(G281:G282)</f>
        <v>0</v>
      </c>
      <c r="H285" s="411">
        <f>SUM(H281:H282)</f>
        <v>0</v>
      </c>
      <c r="I285" s="411">
        <f>SUM(I281:I282)</f>
        <v>0</v>
      </c>
      <c r="J285" s="411">
        <f>SUM(J281:J282)</f>
        <v>0</v>
      </c>
      <c r="M285" s="23"/>
      <c r="N285" s="942"/>
      <c r="O285" s="23"/>
      <c r="R285" s="23"/>
      <c r="S285" s="942"/>
      <c r="T285" s="23"/>
      <c r="U285" s="23"/>
      <c r="V285" s="23"/>
      <c r="W285" s="23"/>
      <c r="X285" s="23"/>
      <c r="Y285" s="23"/>
      <c r="Z285" s="23"/>
      <c r="AA285" s="23"/>
      <c r="AB285" s="23"/>
      <c r="AC285" s="23"/>
      <c r="AD285" s="23"/>
      <c r="AE285" s="23"/>
      <c r="AF285" s="23"/>
      <c r="AG285" s="23"/>
      <c r="AH285" s="23"/>
      <c r="AI285" s="23"/>
      <c r="AJ285" s="23"/>
      <c r="AK285" s="23"/>
      <c r="AL285" s="23"/>
      <c r="AM285" s="23"/>
      <c r="AN285" s="23"/>
    </row>
    <row r="286" spans="1:40" x14ac:dyDescent="0.2">
      <c r="E286" s="409" t="s">
        <v>549</v>
      </c>
      <c r="G286" s="411">
        <f>G228-G285</f>
        <v>0</v>
      </c>
      <c r="H286" s="411">
        <f>H228-H285</f>
        <v>0</v>
      </c>
      <c r="I286" s="411">
        <f>I228-I285</f>
        <v>0</v>
      </c>
      <c r="J286" s="411">
        <f>J228-J285</f>
        <v>0</v>
      </c>
      <c r="M286" s="23"/>
      <c r="N286" s="942"/>
      <c r="O286" s="23"/>
      <c r="R286" s="23"/>
      <c r="S286" s="942"/>
      <c r="T286" s="23"/>
      <c r="U286" s="23"/>
      <c r="V286" s="23"/>
      <c r="W286" s="23"/>
      <c r="X286" s="23"/>
      <c r="Y286" s="23"/>
      <c r="Z286" s="23"/>
      <c r="AA286" s="23"/>
      <c r="AB286" s="23"/>
      <c r="AC286" s="23"/>
      <c r="AD286" s="23"/>
      <c r="AE286" s="23"/>
      <c r="AF286" s="23"/>
      <c r="AG286" s="23"/>
      <c r="AH286" s="23"/>
      <c r="AI286" s="23"/>
      <c r="AJ286" s="23"/>
      <c r="AK286" s="23"/>
      <c r="AL286" s="23"/>
      <c r="AM286" s="23"/>
      <c r="AN286" s="23"/>
    </row>
    <row r="287" spans="1:40" ht="28.5" customHeight="1" x14ac:dyDescent="0.2">
      <c r="A287" s="1165" t="s">
        <v>862</v>
      </c>
      <c r="B287" s="1168"/>
      <c r="C287" s="1168"/>
      <c r="D287" s="1168"/>
      <c r="E287" s="1167"/>
      <c r="M287" s="23"/>
      <c r="N287" s="942"/>
      <c r="O287" s="23"/>
      <c r="R287" s="23"/>
      <c r="S287" s="942"/>
      <c r="T287" s="23"/>
      <c r="U287" s="23"/>
      <c r="V287" s="23"/>
      <c r="W287" s="23"/>
      <c r="X287" s="23"/>
      <c r="Y287" s="23"/>
      <c r="Z287" s="23"/>
      <c r="AA287" s="23"/>
      <c r="AB287" s="23"/>
      <c r="AC287" s="23"/>
      <c r="AD287" s="23"/>
      <c r="AE287" s="23"/>
      <c r="AF287" s="23"/>
      <c r="AG287" s="23"/>
      <c r="AH287" s="23"/>
      <c r="AI287" s="23"/>
      <c r="AJ287" s="23"/>
      <c r="AK287" s="23"/>
      <c r="AL287" s="23"/>
      <c r="AM287" s="23"/>
      <c r="AN287" s="23"/>
    </row>
    <row r="288" spans="1:40" x14ac:dyDescent="0.2">
      <c r="E288" s="11"/>
      <c r="M288" s="23"/>
      <c r="N288" s="942"/>
      <c r="O288" s="23"/>
      <c r="R288" s="23"/>
      <c r="S288" s="942"/>
      <c r="T288" s="23"/>
      <c r="U288" s="23"/>
      <c r="V288" s="23"/>
      <c r="W288" s="23"/>
      <c r="X288" s="23"/>
      <c r="Y288" s="23"/>
      <c r="Z288" s="23"/>
      <c r="AA288" s="23"/>
      <c r="AB288" s="23"/>
      <c r="AC288" s="23"/>
      <c r="AD288" s="23"/>
      <c r="AE288" s="23"/>
      <c r="AF288" s="23"/>
      <c r="AG288" s="23"/>
      <c r="AH288" s="23"/>
      <c r="AI288" s="23"/>
      <c r="AJ288" s="23"/>
      <c r="AK288" s="23"/>
      <c r="AL288" s="23"/>
      <c r="AM288" s="23"/>
      <c r="AN288" s="23"/>
    </row>
    <row r="289" spans="1:40" x14ac:dyDescent="0.2">
      <c r="A289" s="200"/>
      <c r="B289" s="200"/>
      <c r="C289" s="200"/>
      <c r="D289" s="200"/>
      <c r="E289" s="946"/>
      <c r="F289" s="201"/>
      <c r="G289" s="412"/>
      <c r="H289" s="412"/>
      <c r="I289" s="412"/>
      <c r="J289" s="412"/>
      <c r="K289" s="412"/>
      <c r="L289" s="412"/>
      <c r="M289" s="947"/>
      <c r="N289" s="948"/>
      <c r="O289" s="947"/>
      <c r="P289" s="412"/>
      <c r="Q289" s="412"/>
      <c r="R289" s="947"/>
      <c r="S289" s="948"/>
      <c r="T289" s="23"/>
      <c r="U289" s="23"/>
      <c r="V289" s="23"/>
      <c r="W289" s="23"/>
      <c r="X289" s="23"/>
      <c r="Y289" s="23"/>
      <c r="Z289" s="23"/>
      <c r="AA289" s="23"/>
      <c r="AB289" s="23"/>
      <c r="AC289" s="23"/>
      <c r="AD289" s="23"/>
      <c r="AE289" s="23"/>
      <c r="AF289" s="23"/>
      <c r="AG289" s="23"/>
      <c r="AH289" s="23"/>
      <c r="AI289" s="23"/>
      <c r="AJ289" s="23"/>
      <c r="AK289" s="23"/>
      <c r="AL289" s="23"/>
      <c r="AM289" s="23"/>
      <c r="AN289" s="23"/>
    </row>
    <row r="290" spans="1:40" x14ac:dyDescent="0.2">
      <c r="E290" s="5" t="s">
        <v>217</v>
      </c>
      <c r="M290" s="23"/>
      <c r="N290" s="942"/>
      <c r="O290" s="23"/>
      <c r="R290" s="23"/>
      <c r="S290" s="942"/>
      <c r="T290" s="23"/>
      <c r="U290" s="23"/>
      <c r="V290" s="23"/>
      <c r="W290" s="23"/>
      <c r="X290" s="23"/>
      <c r="Y290" s="23"/>
      <c r="Z290" s="23"/>
      <c r="AA290" s="23"/>
      <c r="AB290" s="23"/>
      <c r="AC290" s="23"/>
      <c r="AD290" s="23"/>
      <c r="AE290" s="23"/>
      <c r="AF290" s="23"/>
      <c r="AG290" s="23"/>
      <c r="AH290" s="23"/>
      <c r="AI290" s="23"/>
      <c r="AJ290" s="23"/>
      <c r="AK290" s="23"/>
      <c r="AL290" s="23"/>
      <c r="AM290" s="23"/>
      <c r="AN290" s="23"/>
    </row>
    <row r="291" spans="1:40" x14ac:dyDescent="0.2">
      <c r="E291" s="493" t="s">
        <v>1589</v>
      </c>
      <c r="G291" s="400">
        <f>SUM(G101,G115)</f>
        <v>0</v>
      </c>
      <c r="H291" s="400">
        <f>SUM(H101,H115)</f>
        <v>0</v>
      </c>
      <c r="I291" s="400">
        <f>SUM(I101,I115)</f>
        <v>0</v>
      </c>
      <c r="J291" s="400">
        <f>SUM(J101,J115)</f>
        <v>0</v>
      </c>
      <c r="M291" s="23"/>
      <c r="N291" s="942"/>
      <c r="O291" s="23"/>
      <c r="R291" s="23"/>
      <c r="S291" s="942"/>
      <c r="T291" s="23"/>
      <c r="U291" s="23"/>
      <c r="V291" s="23"/>
      <c r="W291" s="23"/>
      <c r="X291" s="23"/>
      <c r="Y291" s="23"/>
      <c r="Z291" s="23"/>
      <c r="AA291" s="23"/>
      <c r="AB291" s="23"/>
      <c r="AC291" s="23"/>
      <c r="AD291" s="23"/>
      <c r="AE291" s="23"/>
      <c r="AF291" s="23"/>
      <c r="AG291" s="23"/>
      <c r="AH291" s="23"/>
      <c r="AI291" s="23"/>
      <c r="AJ291" s="23"/>
      <c r="AK291" s="23"/>
      <c r="AL291" s="23"/>
      <c r="AM291" s="23"/>
      <c r="AN291" s="23"/>
    </row>
    <row r="292" spans="1:40" x14ac:dyDescent="0.2">
      <c r="E292" s="493" t="s">
        <v>1833</v>
      </c>
      <c r="G292" s="400">
        <f>SUM(G48,G50:G53,G56,G58,G60,G71,G72,G91)</f>
        <v>0</v>
      </c>
      <c r="M292" s="23"/>
      <c r="N292" s="942"/>
      <c r="O292" s="23"/>
      <c r="R292" s="23"/>
      <c r="S292" s="942"/>
      <c r="T292" s="23"/>
      <c r="U292" s="23"/>
      <c r="V292" s="23"/>
      <c r="W292" s="23"/>
      <c r="X292" s="23"/>
      <c r="Y292" s="23"/>
      <c r="Z292" s="23"/>
      <c r="AA292" s="23"/>
      <c r="AB292" s="23"/>
      <c r="AC292" s="23"/>
      <c r="AD292" s="23"/>
      <c r="AE292" s="23"/>
      <c r="AF292" s="23"/>
      <c r="AG292" s="23"/>
      <c r="AH292" s="23"/>
      <c r="AI292" s="23"/>
      <c r="AJ292" s="23"/>
      <c r="AK292" s="23"/>
      <c r="AL292" s="23"/>
      <c r="AM292" s="23"/>
      <c r="AN292" s="23"/>
    </row>
    <row r="293" spans="1:40" x14ac:dyDescent="0.2">
      <c r="E293" s="274" t="s">
        <v>133</v>
      </c>
      <c r="G293" s="400">
        <f>SUM(G46:G48,G52:G53)</f>
        <v>0</v>
      </c>
      <c r="M293" s="23"/>
      <c r="N293" s="942"/>
      <c r="O293" s="23"/>
      <c r="R293" s="23"/>
      <c r="S293" s="942"/>
      <c r="T293" s="23"/>
      <c r="U293" s="23"/>
      <c r="V293" s="23"/>
      <c r="W293" s="23"/>
      <c r="X293" s="23"/>
      <c r="Y293" s="23"/>
      <c r="Z293" s="23"/>
      <c r="AA293" s="23"/>
      <c r="AB293" s="23"/>
      <c r="AC293" s="23"/>
      <c r="AD293" s="23"/>
      <c r="AE293" s="23"/>
      <c r="AF293" s="23"/>
      <c r="AG293" s="23"/>
      <c r="AH293" s="23"/>
      <c r="AI293" s="23"/>
      <c r="AJ293" s="23"/>
      <c r="AK293" s="23"/>
      <c r="AL293" s="23"/>
      <c r="AM293" s="23"/>
      <c r="AN293" s="23"/>
    </row>
    <row r="294" spans="1:40" x14ac:dyDescent="0.2">
      <c r="E294" s="274" t="s">
        <v>699</v>
      </c>
      <c r="G294" s="400">
        <f>SUM(G50:G51)</f>
        <v>0</v>
      </c>
      <c r="M294" s="23"/>
      <c r="N294" s="942"/>
      <c r="O294" s="23"/>
      <c r="R294" s="23"/>
      <c r="S294" s="942"/>
      <c r="T294" s="23"/>
      <c r="U294" s="23"/>
      <c r="V294" s="23"/>
      <c r="W294" s="23"/>
      <c r="X294" s="23"/>
      <c r="Y294" s="23"/>
      <c r="Z294" s="23"/>
      <c r="AA294" s="23"/>
      <c r="AB294" s="23"/>
      <c r="AC294" s="23"/>
      <c r="AD294" s="23"/>
      <c r="AE294" s="23"/>
      <c r="AF294" s="23"/>
      <c r="AG294" s="23"/>
      <c r="AH294" s="23"/>
      <c r="AI294" s="23"/>
      <c r="AJ294" s="23"/>
      <c r="AK294" s="23"/>
      <c r="AL294" s="23"/>
      <c r="AM294" s="23"/>
      <c r="AN294" s="23"/>
    </row>
    <row r="295" spans="1:40" x14ac:dyDescent="0.2">
      <c r="E295" s="11"/>
      <c r="M295" s="23"/>
      <c r="N295" s="942"/>
      <c r="O295" s="23"/>
      <c r="R295" s="23"/>
      <c r="S295" s="942"/>
      <c r="T295" s="23"/>
      <c r="U295" s="23"/>
      <c r="V295" s="23"/>
      <c r="W295" s="23"/>
      <c r="X295" s="23"/>
      <c r="Y295" s="23"/>
      <c r="Z295" s="23"/>
      <c r="AA295" s="23"/>
      <c r="AB295" s="23"/>
      <c r="AC295" s="23"/>
      <c r="AD295" s="23"/>
      <c r="AE295" s="23"/>
      <c r="AF295" s="23"/>
      <c r="AG295" s="23"/>
      <c r="AH295" s="23"/>
      <c r="AI295" s="23"/>
      <c r="AJ295" s="23"/>
      <c r="AK295" s="23"/>
      <c r="AL295" s="23"/>
      <c r="AM295" s="23"/>
      <c r="AN295" s="23"/>
    </row>
    <row r="296" spans="1:40" x14ac:dyDescent="0.2">
      <c r="E296" s="274" t="s">
        <v>315</v>
      </c>
      <c r="G296" s="400">
        <f>SUM(G153:G154)</f>
        <v>0</v>
      </c>
      <c r="H296" s="400">
        <f>SUM(H153:H154)</f>
        <v>0</v>
      </c>
      <c r="I296" s="400">
        <f>SUM(I153:I154)</f>
        <v>0</v>
      </c>
      <c r="J296" s="400">
        <f>SUM(J153:J154)</f>
        <v>0</v>
      </c>
      <c r="M296" s="23"/>
      <c r="N296" s="942"/>
      <c r="O296" s="23"/>
      <c r="R296" s="23"/>
      <c r="S296" s="942"/>
      <c r="T296" s="23"/>
      <c r="U296" s="23"/>
      <c r="V296" s="23"/>
      <c r="W296" s="23"/>
      <c r="X296" s="23"/>
      <c r="Y296" s="23"/>
      <c r="Z296" s="23"/>
      <c r="AA296" s="23"/>
      <c r="AB296" s="23"/>
      <c r="AC296" s="23"/>
      <c r="AD296" s="23"/>
      <c r="AE296" s="23"/>
      <c r="AF296" s="23"/>
      <c r="AG296" s="23"/>
      <c r="AH296" s="23"/>
      <c r="AI296" s="23"/>
      <c r="AJ296" s="23"/>
      <c r="AK296" s="23"/>
      <c r="AL296" s="23"/>
      <c r="AM296" s="23"/>
      <c r="AN296" s="23"/>
    </row>
    <row r="297" spans="1:40" x14ac:dyDescent="0.2">
      <c r="E297" s="11"/>
      <c r="M297" s="23"/>
      <c r="N297" s="942"/>
      <c r="O297" s="23"/>
      <c r="R297" s="23"/>
      <c r="S297" s="942"/>
      <c r="T297" s="23"/>
      <c r="U297" s="23"/>
      <c r="V297" s="23"/>
      <c r="W297" s="23"/>
      <c r="X297" s="23"/>
      <c r="Y297" s="23"/>
      <c r="Z297" s="23"/>
      <c r="AA297" s="23"/>
      <c r="AB297" s="23"/>
      <c r="AC297" s="23"/>
      <c r="AD297" s="23"/>
      <c r="AE297" s="23"/>
      <c r="AF297" s="23"/>
      <c r="AG297" s="23"/>
      <c r="AH297" s="23"/>
      <c r="AI297" s="23"/>
      <c r="AJ297" s="23"/>
      <c r="AK297" s="23"/>
      <c r="AL297" s="23"/>
      <c r="AM297" s="23"/>
      <c r="AN297" s="23"/>
    </row>
    <row r="298" spans="1:40" x14ac:dyDescent="0.2">
      <c r="E298" s="493" t="s">
        <v>927</v>
      </c>
      <c r="M298" s="23"/>
      <c r="N298" s="942"/>
      <c r="O298" s="23"/>
      <c r="R298" s="23"/>
      <c r="S298" s="942"/>
      <c r="T298" s="23"/>
      <c r="U298" s="23"/>
      <c r="V298" s="23"/>
      <c r="W298" s="23"/>
      <c r="X298" s="23"/>
      <c r="Y298" s="23"/>
      <c r="Z298" s="23"/>
      <c r="AA298" s="23"/>
      <c r="AB298" s="23"/>
      <c r="AC298" s="23"/>
      <c r="AD298" s="23"/>
      <c r="AE298" s="23"/>
      <c r="AF298" s="23"/>
      <c r="AG298" s="23"/>
      <c r="AH298" s="23"/>
      <c r="AI298" s="23"/>
      <c r="AJ298" s="23"/>
      <c r="AK298" s="23"/>
      <c r="AL298" s="23"/>
      <c r="AM298" s="23"/>
      <c r="AN298" s="23"/>
    </row>
    <row r="299" spans="1:40" x14ac:dyDescent="0.2">
      <c r="E299" s="493" t="s">
        <v>578</v>
      </c>
      <c r="G299" s="400">
        <f t="shared" ref="G299:J301" si="72">SUM(G158,G174)</f>
        <v>0</v>
      </c>
      <c r="H299" s="400">
        <f t="shared" si="72"/>
        <v>0</v>
      </c>
      <c r="I299" s="400">
        <f t="shared" si="72"/>
        <v>0</v>
      </c>
      <c r="J299" s="400">
        <f t="shared" si="72"/>
        <v>0</v>
      </c>
      <c r="M299" s="23"/>
      <c r="N299" s="942"/>
      <c r="O299" s="23"/>
      <c r="R299" s="23"/>
      <c r="S299" s="942"/>
      <c r="T299" s="23"/>
      <c r="U299" s="23"/>
      <c r="V299" s="23"/>
      <c r="W299" s="23"/>
      <c r="X299" s="23"/>
      <c r="Y299" s="23"/>
      <c r="Z299" s="23"/>
      <c r="AA299" s="23"/>
      <c r="AB299" s="23"/>
      <c r="AC299" s="23"/>
      <c r="AD299" s="23"/>
      <c r="AE299" s="23"/>
      <c r="AF299" s="23"/>
      <c r="AG299" s="23"/>
      <c r="AH299" s="23"/>
      <c r="AI299" s="23"/>
      <c r="AJ299" s="23"/>
      <c r="AK299" s="23"/>
      <c r="AL299" s="23"/>
      <c r="AM299" s="23"/>
      <c r="AN299" s="23"/>
    </row>
    <row r="300" spans="1:40" x14ac:dyDescent="0.2">
      <c r="E300" s="493" t="s">
        <v>1415</v>
      </c>
      <c r="G300" s="400">
        <f t="shared" si="72"/>
        <v>0</v>
      </c>
      <c r="H300" s="400">
        <f t="shared" si="72"/>
        <v>0</v>
      </c>
      <c r="I300" s="400">
        <f t="shared" si="72"/>
        <v>0</v>
      </c>
      <c r="J300" s="400">
        <f t="shared" si="72"/>
        <v>0</v>
      </c>
      <c r="M300" s="23"/>
      <c r="N300" s="942"/>
      <c r="O300" s="23"/>
      <c r="R300" s="23"/>
      <c r="S300" s="942"/>
      <c r="T300" s="23"/>
      <c r="U300" s="23"/>
      <c r="V300" s="23"/>
      <c r="W300" s="23"/>
      <c r="X300" s="23"/>
      <c r="Y300" s="23"/>
      <c r="Z300" s="23"/>
      <c r="AA300" s="23"/>
      <c r="AB300" s="23"/>
      <c r="AC300" s="23"/>
      <c r="AD300" s="23"/>
      <c r="AE300" s="23"/>
      <c r="AF300" s="23"/>
      <c r="AG300" s="23"/>
      <c r="AH300" s="23"/>
      <c r="AI300" s="23"/>
      <c r="AJ300" s="23"/>
      <c r="AK300" s="23"/>
      <c r="AL300" s="23"/>
      <c r="AM300" s="23"/>
      <c r="AN300" s="23"/>
    </row>
    <row r="301" spans="1:40" ht="12" customHeight="1" x14ac:dyDescent="0.2">
      <c r="E301" s="493" t="s">
        <v>1587</v>
      </c>
      <c r="G301" s="400">
        <f>SUM(G160,G176)</f>
        <v>0</v>
      </c>
      <c r="H301" s="400">
        <f t="shared" si="72"/>
        <v>0</v>
      </c>
      <c r="I301" s="400">
        <f t="shared" si="72"/>
        <v>0</v>
      </c>
      <c r="J301" s="400">
        <f t="shared" si="72"/>
        <v>0</v>
      </c>
      <c r="M301" s="23"/>
      <c r="N301" s="942"/>
      <c r="O301" s="23"/>
      <c r="R301" s="23"/>
      <c r="S301" s="942"/>
      <c r="T301" s="23"/>
      <c r="U301" s="23"/>
      <c r="V301" s="23"/>
      <c r="W301" s="23"/>
      <c r="X301" s="23"/>
      <c r="Y301" s="23"/>
      <c r="Z301" s="23"/>
      <c r="AA301" s="23"/>
      <c r="AB301" s="23"/>
      <c r="AC301" s="23"/>
      <c r="AD301" s="23"/>
      <c r="AE301" s="23"/>
      <c r="AF301" s="23"/>
      <c r="AG301" s="23"/>
      <c r="AH301" s="23"/>
      <c r="AI301" s="23"/>
      <c r="AJ301" s="23"/>
      <c r="AK301" s="23"/>
      <c r="AL301" s="23"/>
      <c r="AM301" s="23"/>
      <c r="AN301" s="23"/>
    </row>
    <row r="302" spans="1:40" ht="23.25" customHeight="1" x14ac:dyDescent="0.2">
      <c r="D302" s="1160" t="s">
        <v>1572</v>
      </c>
      <c r="E302" s="1160"/>
      <c r="G302" s="400">
        <f>SUM(G161,G177)</f>
        <v>0</v>
      </c>
      <c r="H302" s="400">
        <f t="shared" ref="G302:J307" si="73">SUM(H161,H177)</f>
        <v>0</v>
      </c>
      <c r="I302" s="400">
        <f t="shared" si="73"/>
        <v>0</v>
      </c>
      <c r="J302" s="400">
        <f t="shared" si="73"/>
        <v>0</v>
      </c>
      <c r="M302" s="23"/>
      <c r="N302" s="942"/>
      <c r="O302" s="23"/>
      <c r="R302" s="23"/>
      <c r="S302" s="942"/>
      <c r="T302" s="23"/>
      <c r="U302" s="23"/>
      <c r="V302" s="23"/>
      <c r="W302" s="23"/>
      <c r="X302" s="23"/>
      <c r="Y302" s="23"/>
      <c r="Z302" s="23"/>
      <c r="AA302" s="23"/>
      <c r="AB302" s="23"/>
      <c r="AC302" s="23"/>
      <c r="AD302" s="23"/>
      <c r="AE302" s="23"/>
      <c r="AF302" s="23"/>
      <c r="AG302" s="23"/>
      <c r="AH302" s="23"/>
      <c r="AI302" s="23"/>
      <c r="AJ302" s="23"/>
      <c r="AK302" s="23"/>
      <c r="AL302" s="23"/>
      <c r="AM302" s="23"/>
      <c r="AN302" s="23"/>
    </row>
    <row r="303" spans="1:40" x14ac:dyDescent="0.2">
      <c r="E303" s="274" t="s">
        <v>751</v>
      </c>
      <c r="G303" s="400">
        <f>SUM(G162,G178)</f>
        <v>0</v>
      </c>
      <c r="H303" s="400">
        <f t="shared" si="73"/>
        <v>0</v>
      </c>
      <c r="I303" s="400">
        <f t="shared" si="73"/>
        <v>0</v>
      </c>
      <c r="J303" s="400">
        <f t="shared" si="73"/>
        <v>0</v>
      </c>
      <c r="M303" s="23"/>
      <c r="N303" s="942"/>
      <c r="O303" s="23"/>
      <c r="R303" s="23"/>
      <c r="S303" s="942"/>
      <c r="T303" s="23"/>
      <c r="U303" s="23"/>
      <c r="V303" s="23"/>
      <c r="W303" s="23"/>
      <c r="X303" s="23"/>
      <c r="Y303" s="23"/>
      <c r="Z303" s="23"/>
      <c r="AA303" s="23"/>
      <c r="AB303" s="23"/>
      <c r="AC303" s="23"/>
      <c r="AD303" s="23"/>
      <c r="AE303" s="23"/>
      <c r="AF303" s="23"/>
      <c r="AG303" s="23"/>
      <c r="AH303" s="23"/>
      <c r="AI303" s="23"/>
      <c r="AJ303" s="23"/>
      <c r="AK303" s="23"/>
      <c r="AL303" s="23"/>
      <c r="AM303" s="23"/>
      <c r="AN303" s="23"/>
    </row>
    <row r="304" spans="1:40" x14ac:dyDescent="0.2">
      <c r="E304" s="274" t="s">
        <v>116</v>
      </c>
      <c r="G304" s="400">
        <f t="shared" si="73"/>
        <v>0</v>
      </c>
      <c r="H304" s="400">
        <f t="shared" si="73"/>
        <v>0</v>
      </c>
      <c r="I304" s="400">
        <f t="shared" si="73"/>
        <v>0</v>
      </c>
      <c r="J304" s="400">
        <f t="shared" si="73"/>
        <v>0</v>
      </c>
      <c r="M304" s="23"/>
      <c r="N304" s="942"/>
      <c r="O304" s="23"/>
      <c r="R304" s="23"/>
      <c r="S304" s="942"/>
      <c r="T304" s="23"/>
      <c r="U304" s="23"/>
      <c r="V304" s="23"/>
      <c r="W304" s="23"/>
      <c r="X304" s="23"/>
      <c r="Y304" s="23"/>
      <c r="Z304" s="23"/>
      <c r="AA304" s="23"/>
      <c r="AB304" s="23"/>
      <c r="AC304" s="23"/>
      <c r="AD304" s="23"/>
      <c r="AE304" s="23"/>
      <c r="AF304" s="23"/>
      <c r="AG304" s="23"/>
      <c r="AH304" s="23"/>
      <c r="AI304" s="23"/>
      <c r="AJ304" s="23"/>
      <c r="AK304" s="23"/>
      <c r="AL304" s="23"/>
      <c r="AM304" s="23"/>
      <c r="AN304" s="23"/>
    </row>
    <row r="305" spans="4:40" x14ac:dyDescent="0.2">
      <c r="E305" s="274" t="s">
        <v>816</v>
      </c>
      <c r="G305" s="400">
        <f t="shared" si="73"/>
        <v>0</v>
      </c>
      <c r="H305" s="400">
        <f t="shared" si="73"/>
        <v>0</v>
      </c>
      <c r="I305" s="400">
        <f t="shared" si="73"/>
        <v>0</v>
      </c>
      <c r="J305" s="400">
        <f t="shared" si="73"/>
        <v>0</v>
      </c>
      <c r="M305" s="23"/>
      <c r="N305" s="942"/>
      <c r="O305" s="23"/>
      <c r="R305" s="23"/>
      <c r="S305" s="942"/>
      <c r="T305" s="23"/>
      <c r="U305" s="23"/>
      <c r="V305" s="23"/>
      <c r="W305" s="23"/>
      <c r="X305" s="23"/>
      <c r="Y305" s="23"/>
      <c r="Z305" s="23"/>
      <c r="AA305" s="23"/>
      <c r="AB305" s="23"/>
      <c r="AC305" s="23"/>
      <c r="AD305" s="23"/>
      <c r="AE305" s="23"/>
      <c r="AF305" s="23"/>
      <c r="AG305" s="23"/>
      <c r="AH305" s="23"/>
      <c r="AI305" s="23"/>
      <c r="AJ305" s="23"/>
      <c r="AK305" s="23"/>
      <c r="AL305" s="23"/>
      <c r="AM305" s="23"/>
      <c r="AN305" s="23"/>
    </row>
    <row r="306" spans="4:40" x14ac:dyDescent="0.2">
      <c r="E306" s="274" t="s">
        <v>716</v>
      </c>
      <c r="G306" s="400">
        <f t="shared" si="73"/>
        <v>0</v>
      </c>
      <c r="H306" s="400">
        <f t="shared" si="73"/>
        <v>0</v>
      </c>
      <c r="I306" s="400">
        <f t="shared" si="73"/>
        <v>0</v>
      </c>
      <c r="J306" s="400">
        <f t="shared" si="73"/>
        <v>0</v>
      </c>
      <c r="M306" s="23"/>
      <c r="N306" s="942"/>
      <c r="O306" s="23"/>
      <c r="R306" s="23"/>
      <c r="S306" s="942"/>
      <c r="T306" s="23"/>
      <c r="U306" s="23"/>
      <c r="V306" s="23"/>
      <c r="W306" s="23"/>
      <c r="X306" s="23"/>
      <c r="Y306" s="23"/>
      <c r="Z306" s="23"/>
      <c r="AA306" s="23"/>
      <c r="AB306" s="23"/>
      <c r="AC306" s="23"/>
      <c r="AD306" s="23"/>
      <c r="AE306" s="23"/>
      <c r="AF306" s="23"/>
      <c r="AG306" s="23"/>
      <c r="AH306" s="23"/>
      <c r="AI306" s="23"/>
      <c r="AJ306" s="23"/>
      <c r="AK306" s="23"/>
      <c r="AL306" s="23"/>
      <c r="AM306" s="23"/>
      <c r="AN306" s="23"/>
    </row>
    <row r="307" spans="4:40" x14ac:dyDescent="0.2">
      <c r="E307" s="493" t="s">
        <v>1588</v>
      </c>
      <c r="G307" s="400">
        <f t="shared" si="73"/>
        <v>0</v>
      </c>
      <c r="H307" s="400">
        <f t="shared" si="73"/>
        <v>0</v>
      </c>
      <c r="I307" s="400">
        <f t="shared" si="73"/>
        <v>0</v>
      </c>
      <c r="J307" s="400">
        <f t="shared" si="73"/>
        <v>0</v>
      </c>
      <c r="M307" s="23"/>
      <c r="N307" s="942"/>
      <c r="O307" s="23"/>
      <c r="R307" s="23"/>
      <c r="S307" s="942"/>
      <c r="T307" s="23"/>
      <c r="U307" s="23"/>
      <c r="V307" s="23"/>
      <c r="W307" s="23"/>
      <c r="X307" s="23"/>
      <c r="Y307" s="23"/>
      <c r="Z307" s="23"/>
      <c r="AA307" s="23"/>
      <c r="AB307" s="23"/>
      <c r="AC307" s="23"/>
      <c r="AD307" s="23"/>
      <c r="AE307" s="23"/>
      <c r="AF307" s="23"/>
      <c r="AG307" s="23"/>
      <c r="AH307" s="23"/>
      <c r="AI307" s="23"/>
      <c r="AJ307" s="23"/>
      <c r="AK307" s="23"/>
      <c r="AL307" s="23"/>
      <c r="AM307" s="23"/>
      <c r="AN307" s="23"/>
    </row>
    <row r="308" spans="4:40" x14ac:dyDescent="0.2">
      <c r="E308" s="493" t="s">
        <v>1279</v>
      </c>
      <c r="G308" s="400">
        <f t="shared" ref="G308:J308" si="74">G183</f>
        <v>0</v>
      </c>
      <c r="H308" s="400">
        <f t="shared" si="74"/>
        <v>0</v>
      </c>
      <c r="I308" s="400">
        <f t="shared" si="74"/>
        <v>0</v>
      </c>
      <c r="J308" s="400">
        <f t="shared" si="74"/>
        <v>0</v>
      </c>
      <c r="M308" s="23"/>
      <c r="N308" s="942"/>
      <c r="O308" s="23"/>
      <c r="R308" s="23"/>
      <c r="S308" s="942"/>
      <c r="T308" s="23"/>
      <c r="U308" s="23"/>
      <c r="V308" s="23"/>
      <c r="W308" s="23"/>
      <c r="X308" s="23"/>
      <c r="Y308" s="23"/>
      <c r="Z308" s="23"/>
      <c r="AA308" s="23"/>
      <c r="AB308" s="23"/>
      <c r="AC308" s="23"/>
      <c r="AD308" s="23"/>
      <c r="AE308" s="23"/>
      <c r="AF308" s="23"/>
      <c r="AG308" s="23"/>
      <c r="AH308" s="23"/>
      <c r="AI308" s="23"/>
      <c r="AJ308" s="23"/>
      <c r="AK308" s="23"/>
      <c r="AL308" s="23"/>
      <c r="AM308" s="23"/>
      <c r="AN308" s="23"/>
    </row>
    <row r="309" spans="4:40" x14ac:dyDescent="0.2">
      <c r="E309" s="493" t="s">
        <v>1374</v>
      </c>
      <c r="G309" s="400">
        <f t="shared" ref="G309:J312" si="75">SUM(G167,G184)</f>
        <v>0</v>
      </c>
      <c r="H309" s="400">
        <f t="shared" si="75"/>
        <v>0</v>
      </c>
      <c r="I309" s="400">
        <f t="shared" si="75"/>
        <v>0</v>
      </c>
      <c r="J309" s="400">
        <f t="shared" si="75"/>
        <v>0</v>
      </c>
      <c r="M309" s="23"/>
      <c r="N309" s="942"/>
      <c r="O309" s="23"/>
      <c r="R309" s="23"/>
      <c r="S309" s="942"/>
      <c r="T309" s="23"/>
      <c r="U309" s="23"/>
      <c r="V309" s="23"/>
      <c r="W309" s="23"/>
      <c r="X309" s="23"/>
      <c r="Y309" s="23"/>
      <c r="Z309" s="23"/>
      <c r="AA309" s="23"/>
      <c r="AB309" s="23"/>
      <c r="AC309" s="23"/>
      <c r="AD309" s="23"/>
      <c r="AE309" s="23"/>
      <c r="AF309" s="23"/>
      <c r="AG309" s="23"/>
      <c r="AH309" s="23"/>
      <c r="AI309" s="23"/>
      <c r="AJ309" s="23"/>
      <c r="AK309" s="23"/>
      <c r="AL309" s="23"/>
      <c r="AM309" s="23"/>
      <c r="AN309" s="23"/>
    </row>
    <row r="310" spans="4:40" x14ac:dyDescent="0.2">
      <c r="E310" s="493" t="s">
        <v>1375</v>
      </c>
      <c r="G310" s="400">
        <f t="shared" si="75"/>
        <v>0</v>
      </c>
      <c r="H310" s="400">
        <f t="shared" si="75"/>
        <v>0</v>
      </c>
      <c r="I310" s="400">
        <f t="shared" si="75"/>
        <v>0</v>
      </c>
      <c r="J310" s="400">
        <f t="shared" si="75"/>
        <v>0</v>
      </c>
      <c r="M310" s="23"/>
      <c r="N310" s="942"/>
      <c r="O310" s="23"/>
      <c r="R310" s="23"/>
      <c r="S310" s="942"/>
      <c r="T310" s="23"/>
      <c r="U310" s="23"/>
      <c r="V310" s="23"/>
      <c r="W310" s="23"/>
      <c r="X310" s="23"/>
      <c r="Y310" s="23"/>
      <c r="Z310" s="23"/>
      <c r="AA310" s="23"/>
      <c r="AB310" s="23"/>
      <c r="AC310" s="23"/>
      <c r="AD310" s="23"/>
      <c r="AE310" s="23"/>
      <c r="AF310" s="23"/>
      <c r="AG310" s="23"/>
      <c r="AH310" s="23"/>
      <c r="AI310" s="23"/>
      <c r="AJ310" s="23"/>
      <c r="AK310" s="23"/>
      <c r="AL310" s="23"/>
      <c r="AM310" s="23"/>
      <c r="AN310" s="23"/>
    </row>
    <row r="311" spans="4:40" x14ac:dyDescent="0.2">
      <c r="E311" s="274" t="s">
        <v>82</v>
      </c>
      <c r="G311" s="400">
        <f t="shared" si="75"/>
        <v>0</v>
      </c>
      <c r="H311" s="400">
        <f t="shared" si="75"/>
        <v>0</v>
      </c>
      <c r="I311" s="400">
        <f t="shared" si="75"/>
        <v>0</v>
      </c>
      <c r="J311" s="400">
        <f t="shared" si="75"/>
        <v>0</v>
      </c>
      <c r="M311" s="23"/>
      <c r="N311" s="949"/>
      <c r="O311" s="23"/>
      <c r="R311" s="23"/>
      <c r="S311" s="942"/>
      <c r="T311" s="23"/>
      <c r="U311" s="23"/>
      <c r="V311" s="23"/>
      <c r="W311" s="23"/>
      <c r="X311" s="23"/>
      <c r="Y311" s="23"/>
      <c r="Z311" s="23"/>
      <c r="AA311" s="23"/>
      <c r="AB311" s="23"/>
      <c r="AC311" s="23"/>
      <c r="AD311" s="23"/>
      <c r="AE311" s="23"/>
      <c r="AF311" s="23"/>
      <c r="AG311" s="23"/>
      <c r="AH311" s="23"/>
      <c r="AI311" s="23"/>
      <c r="AJ311" s="23"/>
      <c r="AK311" s="23"/>
      <c r="AL311" s="23"/>
      <c r="AM311" s="23"/>
      <c r="AN311" s="23"/>
    </row>
    <row r="312" spans="4:40" x14ac:dyDescent="0.2">
      <c r="E312" s="274" t="s">
        <v>760</v>
      </c>
      <c r="F312" s="201"/>
      <c r="G312" s="400">
        <f t="shared" si="75"/>
        <v>0</v>
      </c>
      <c r="H312" s="400">
        <f t="shared" si="75"/>
        <v>0</v>
      </c>
      <c r="I312" s="400">
        <f t="shared" si="75"/>
        <v>0</v>
      </c>
      <c r="J312" s="400">
        <f t="shared" si="75"/>
        <v>0</v>
      </c>
      <c r="M312" s="23"/>
      <c r="N312" s="949"/>
      <c r="O312" s="23"/>
      <c r="R312" s="23"/>
      <c r="S312" s="942"/>
      <c r="T312" s="23"/>
      <c r="U312" s="23"/>
      <c r="V312" s="23"/>
      <c r="W312" s="23"/>
      <c r="X312" s="23"/>
      <c r="Y312" s="23"/>
      <c r="Z312" s="23"/>
      <c r="AA312" s="23"/>
      <c r="AB312" s="23"/>
      <c r="AC312" s="23"/>
      <c r="AD312" s="23"/>
      <c r="AE312" s="23"/>
      <c r="AF312" s="23"/>
      <c r="AG312" s="23"/>
      <c r="AH312" s="23"/>
      <c r="AI312" s="23"/>
      <c r="AJ312" s="23"/>
      <c r="AK312" s="23"/>
      <c r="AL312" s="23"/>
      <c r="AM312" s="23"/>
      <c r="AN312" s="23"/>
    </row>
    <row r="313" spans="4:40" x14ac:dyDescent="0.2">
      <c r="E313" s="11"/>
      <c r="M313" s="23"/>
      <c r="N313" s="949"/>
      <c r="O313" s="23"/>
      <c r="R313" s="23"/>
      <c r="S313" s="942"/>
      <c r="T313" s="23"/>
      <c r="U313" s="23"/>
      <c r="V313" s="23"/>
      <c r="W313" s="23"/>
      <c r="X313" s="23"/>
      <c r="Y313" s="23"/>
      <c r="Z313" s="23"/>
      <c r="AA313" s="23"/>
      <c r="AB313" s="23"/>
      <c r="AC313" s="23"/>
      <c r="AD313" s="23"/>
      <c r="AE313" s="23"/>
      <c r="AF313" s="23"/>
      <c r="AG313" s="23"/>
      <c r="AH313" s="23"/>
      <c r="AI313" s="23"/>
      <c r="AJ313" s="23"/>
      <c r="AK313" s="23"/>
      <c r="AL313" s="23"/>
      <c r="AM313" s="23"/>
      <c r="AN313" s="23"/>
    </row>
    <row r="314" spans="4:40" x14ac:dyDescent="0.2">
      <c r="E314" s="493" t="s">
        <v>1389</v>
      </c>
      <c r="G314" s="400">
        <f>SUM(G248:G253)</f>
        <v>0</v>
      </c>
      <c r="M314" s="23"/>
      <c r="N314" s="949"/>
      <c r="O314" s="23"/>
      <c r="R314" s="23"/>
      <c r="S314" s="942"/>
      <c r="T314" s="23"/>
      <c r="U314" s="23"/>
      <c r="V314" s="23"/>
      <c r="W314" s="23"/>
      <c r="X314" s="23"/>
      <c r="Y314" s="23"/>
      <c r="Z314" s="23"/>
      <c r="AA314" s="23"/>
      <c r="AB314" s="23"/>
      <c r="AC314" s="23"/>
      <c r="AD314" s="23"/>
      <c r="AE314" s="23"/>
      <c r="AF314" s="23"/>
      <c r="AG314" s="23"/>
      <c r="AH314" s="23"/>
      <c r="AI314" s="23"/>
      <c r="AJ314" s="23"/>
      <c r="AK314" s="23"/>
      <c r="AL314" s="23"/>
      <c r="AM314" s="23"/>
      <c r="AN314" s="23"/>
    </row>
    <row r="315" spans="4:40" ht="31.5" customHeight="1" x14ac:dyDescent="0.2">
      <c r="D315" s="1163" t="s">
        <v>316</v>
      </c>
      <c r="E315" s="1162"/>
      <c r="G315" s="400">
        <f>SUM(G254,G258,G259)</f>
        <v>0</v>
      </c>
      <c r="M315" s="23"/>
      <c r="N315" s="949"/>
      <c r="O315" s="23"/>
      <c r="R315" s="23"/>
      <c r="S315" s="942"/>
      <c r="T315" s="23"/>
      <c r="U315" s="23"/>
      <c r="V315" s="23"/>
      <c r="W315" s="23"/>
      <c r="X315" s="23"/>
      <c r="Y315" s="23"/>
      <c r="Z315" s="23"/>
      <c r="AA315" s="23"/>
      <c r="AB315" s="23"/>
      <c r="AC315" s="23"/>
      <c r="AD315" s="23"/>
      <c r="AE315" s="23"/>
      <c r="AF315" s="23"/>
      <c r="AG315" s="23"/>
      <c r="AH315" s="23"/>
      <c r="AI315" s="23"/>
      <c r="AJ315" s="23"/>
      <c r="AK315" s="23"/>
      <c r="AL315" s="23"/>
      <c r="AM315" s="23"/>
      <c r="AN315" s="23"/>
    </row>
    <row r="316" spans="4:40" x14ac:dyDescent="0.2">
      <c r="E316" s="274" t="s">
        <v>317</v>
      </c>
      <c r="G316" s="400">
        <f>SUM(G256:G257)</f>
        <v>0</v>
      </c>
      <c r="M316" s="23"/>
      <c r="N316" s="949"/>
      <c r="O316" s="23"/>
      <c r="R316" s="23"/>
      <c r="S316" s="942"/>
      <c r="T316" s="23"/>
      <c r="U316" s="23"/>
      <c r="V316" s="23"/>
      <c r="W316" s="23"/>
      <c r="X316" s="23"/>
      <c r="Y316" s="23"/>
      <c r="Z316" s="23"/>
      <c r="AA316" s="23"/>
      <c r="AB316" s="23"/>
      <c r="AC316" s="23"/>
      <c r="AD316" s="23"/>
      <c r="AE316" s="23"/>
      <c r="AF316" s="23"/>
      <c r="AG316" s="23"/>
      <c r="AH316" s="23"/>
      <c r="AI316" s="23"/>
      <c r="AJ316" s="23"/>
      <c r="AK316" s="23"/>
      <c r="AL316" s="23"/>
      <c r="AM316" s="23"/>
      <c r="AN316" s="23"/>
    </row>
    <row r="317" spans="4:40" x14ac:dyDescent="0.2">
      <c r="E317" s="11"/>
      <c r="M317" s="23"/>
      <c r="N317" s="949"/>
      <c r="O317" s="23"/>
      <c r="R317" s="23"/>
      <c r="S317" s="942"/>
      <c r="T317" s="23"/>
      <c r="U317" s="23"/>
      <c r="V317" s="23"/>
      <c r="W317" s="23"/>
      <c r="X317" s="23"/>
      <c r="Y317" s="23"/>
      <c r="Z317" s="23"/>
      <c r="AA317" s="23"/>
      <c r="AB317" s="23"/>
      <c r="AC317" s="23"/>
      <c r="AD317" s="23"/>
      <c r="AE317" s="23"/>
      <c r="AF317" s="23"/>
      <c r="AG317" s="23"/>
      <c r="AH317" s="23"/>
      <c r="AI317" s="23"/>
      <c r="AJ317" s="23"/>
      <c r="AK317" s="23"/>
      <c r="AL317" s="23"/>
      <c r="AM317" s="23"/>
      <c r="AN317" s="23"/>
    </row>
    <row r="318" spans="4:40" x14ac:dyDescent="0.2">
      <c r="E318" s="11"/>
      <c r="M318" s="23"/>
      <c r="N318" s="949"/>
      <c r="O318" s="23"/>
      <c r="R318" s="23"/>
      <c r="S318" s="942"/>
      <c r="T318" s="23"/>
      <c r="U318" s="23"/>
      <c r="V318" s="23"/>
      <c r="W318" s="23"/>
      <c r="X318" s="23"/>
      <c r="Y318" s="23"/>
      <c r="Z318" s="23"/>
      <c r="AA318" s="23"/>
      <c r="AB318" s="23"/>
      <c r="AC318" s="23"/>
      <c r="AD318" s="23"/>
      <c r="AE318" s="23"/>
      <c r="AF318" s="23"/>
      <c r="AG318" s="23"/>
      <c r="AH318" s="23"/>
      <c r="AI318" s="23"/>
      <c r="AJ318" s="23"/>
      <c r="AK318" s="23"/>
      <c r="AL318" s="23"/>
      <c r="AM318" s="23"/>
      <c r="AN318" s="23"/>
    </row>
    <row r="319" spans="4:40" x14ac:dyDescent="0.2">
      <c r="E319" s="11"/>
      <c r="M319" s="23"/>
      <c r="N319" s="949"/>
      <c r="O319" s="23"/>
      <c r="R319" s="23"/>
      <c r="S319" s="942"/>
      <c r="T319" s="23"/>
      <c r="U319" s="23"/>
      <c r="V319" s="23"/>
      <c r="W319" s="23"/>
      <c r="X319" s="23"/>
      <c r="Y319" s="23"/>
      <c r="Z319" s="23"/>
      <c r="AA319" s="23"/>
      <c r="AB319" s="23"/>
      <c r="AC319" s="23"/>
      <c r="AD319" s="23"/>
      <c r="AE319" s="23"/>
      <c r="AF319" s="23"/>
      <c r="AG319" s="23"/>
      <c r="AH319" s="23"/>
      <c r="AI319" s="23"/>
      <c r="AJ319" s="23"/>
      <c r="AK319" s="23"/>
      <c r="AL319" s="23"/>
      <c r="AM319" s="23"/>
      <c r="AN319" s="23"/>
    </row>
    <row r="320" spans="4:40" x14ac:dyDescent="0.2">
      <c r="E320" s="11"/>
      <c r="M320" s="23"/>
      <c r="N320" s="949"/>
      <c r="O320" s="23"/>
      <c r="R320" s="23"/>
      <c r="S320" s="942"/>
      <c r="T320" s="23"/>
      <c r="U320" s="23"/>
      <c r="V320" s="23"/>
      <c r="W320" s="23"/>
      <c r="X320" s="23"/>
      <c r="Y320" s="23"/>
      <c r="Z320" s="23"/>
      <c r="AA320" s="23"/>
      <c r="AB320" s="23"/>
      <c r="AC320" s="23"/>
      <c r="AD320" s="23"/>
      <c r="AE320" s="23"/>
      <c r="AF320" s="23"/>
      <c r="AG320" s="23"/>
      <c r="AH320" s="23"/>
      <c r="AI320" s="23"/>
      <c r="AJ320" s="23"/>
      <c r="AK320" s="23"/>
      <c r="AL320" s="23"/>
      <c r="AM320" s="23"/>
      <c r="AN320" s="23"/>
    </row>
    <row r="321" spans="5:40" x14ac:dyDescent="0.2">
      <c r="E321" s="11"/>
      <c r="M321" s="23"/>
      <c r="N321" s="949"/>
      <c r="O321" s="23"/>
      <c r="R321" s="23"/>
      <c r="S321" s="942"/>
      <c r="T321" s="23"/>
      <c r="U321" s="23"/>
      <c r="V321" s="23"/>
      <c r="W321" s="23"/>
      <c r="X321" s="23"/>
      <c r="Y321" s="23"/>
      <c r="Z321" s="23"/>
      <c r="AA321" s="23"/>
      <c r="AB321" s="23"/>
      <c r="AC321" s="23"/>
      <c r="AD321" s="23"/>
      <c r="AE321" s="23"/>
      <c r="AF321" s="23"/>
      <c r="AG321" s="23"/>
      <c r="AH321" s="23"/>
      <c r="AI321" s="23"/>
      <c r="AJ321" s="23"/>
      <c r="AK321" s="23"/>
      <c r="AL321" s="23"/>
      <c r="AM321" s="23"/>
      <c r="AN321" s="23"/>
    </row>
    <row r="322" spans="5:40" hidden="1" x14ac:dyDescent="0.2">
      <c r="E322" s="11"/>
      <c r="M322" s="23"/>
      <c r="N322" s="949"/>
      <c r="O322" s="23"/>
      <c r="R322" s="23"/>
      <c r="S322" s="942"/>
      <c r="T322" s="23"/>
      <c r="U322" s="23"/>
      <c r="V322" s="23"/>
      <c r="W322" s="23"/>
      <c r="X322" s="23"/>
      <c r="Y322" s="23"/>
      <c r="Z322" s="23"/>
      <c r="AA322" s="23"/>
      <c r="AB322" s="23"/>
      <c r="AC322" s="23"/>
      <c r="AD322" s="23"/>
      <c r="AE322" s="23"/>
      <c r="AF322" s="23"/>
      <c r="AG322" s="23"/>
      <c r="AH322" s="23"/>
      <c r="AI322" s="23"/>
      <c r="AJ322" s="23"/>
      <c r="AK322" s="23"/>
      <c r="AL322" s="23"/>
      <c r="AM322" s="23"/>
      <c r="AN322" s="23"/>
    </row>
    <row r="323" spans="5:40" hidden="1" x14ac:dyDescent="0.2">
      <c r="E323" s="11"/>
      <c r="K323" s="3" t="s">
        <v>288</v>
      </c>
      <c r="M323" s="23"/>
      <c r="N323" s="949"/>
      <c r="O323" s="23"/>
      <c r="R323" s="23"/>
      <c r="S323" s="942"/>
      <c r="T323" s="23"/>
      <c r="U323" s="23"/>
      <c r="V323" s="23"/>
      <c r="W323" s="23"/>
      <c r="X323" s="23"/>
      <c r="Y323" s="23"/>
      <c r="Z323" s="23"/>
      <c r="AA323" s="23"/>
      <c r="AB323" s="23"/>
      <c r="AC323" s="23"/>
      <c r="AD323" s="23"/>
      <c r="AE323" s="23"/>
      <c r="AF323" s="23"/>
      <c r="AG323" s="23"/>
      <c r="AH323" s="23"/>
      <c r="AI323" s="23"/>
      <c r="AJ323" s="23"/>
      <c r="AK323" s="23"/>
      <c r="AL323" s="23"/>
      <c r="AM323" s="23"/>
      <c r="AN323" s="23"/>
    </row>
    <row r="324" spans="5:40" ht="12.75" hidden="1" x14ac:dyDescent="0.2">
      <c r="E324" s="11"/>
      <c r="K324" s="802" t="s">
        <v>1159</v>
      </c>
      <c r="M324" s="23"/>
      <c r="N324" s="949"/>
      <c r="O324" s="23"/>
      <c r="R324" s="23"/>
      <c r="S324" s="942"/>
      <c r="T324" s="23"/>
      <c r="U324" s="23"/>
      <c r="V324" s="23"/>
      <c r="W324" s="23"/>
      <c r="X324" s="23"/>
      <c r="Y324" s="23"/>
      <c r="Z324" s="23"/>
      <c r="AA324" s="23"/>
      <c r="AB324" s="23"/>
      <c r="AC324" s="23"/>
      <c r="AD324" s="23"/>
      <c r="AE324" s="23"/>
      <c r="AF324" s="23"/>
      <c r="AG324" s="23"/>
      <c r="AH324" s="23"/>
      <c r="AI324" s="23"/>
      <c r="AJ324" s="23"/>
      <c r="AK324" s="23"/>
      <c r="AL324" s="23"/>
      <c r="AM324" s="23"/>
      <c r="AN324" s="23"/>
    </row>
    <row r="325" spans="5:40" ht="12.75" hidden="1" x14ac:dyDescent="0.2">
      <c r="E325" s="11"/>
      <c r="K325" s="802" t="s">
        <v>1161</v>
      </c>
      <c r="M325" s="23"/>
      <c r="N325" s="949"/>
      <c r="O325" s="23"/>
      <c r="R325" s="23"/>
      <c r="S325" s="942"/>
      <c r="T325" s="23"/>
      <c r="U325" s="23"/>
      <c r="V325" s="23"/>
      <c r="W325" s="23"/>
      <c r="X325" s="23"/>
      <c r="Y325" s="23"/>
      <c r="Z325" s="23"/>
      <c r="AA325" s="23"/>
      <c r="AB325" s="23"/>
      <c r="AC325" s="23"/>
      <c r="AD325" s="23"/>
      <c r="AE325" s="23"/>
      <c r="AF325" s="23"/>
      <c r="AG325" s="23"/>
      <c r="AH325" s="23"/>
      <c r="AI325" s="23"/>
      <c r="AJ325" s="23"/>
      <c r="AK325" s="23"/>
      <c r="AL325" s="23"/>
      <c r="AM325" s="23"/>
      <c r="AN325" s="23"/>
    </row>
    <row r="326" spans="5:40" ht="12.75" hidden="1" x14ac:dyDescent="0.2">
      <c r="E326" s="11"/>
      <c r="K326" s="802" t="s">
        <v>1164</v>
      </c>
      <c r="M326" s="23"/>
      <c r="N326" s="949"/>
      <c r="O326" s="23"/>
      <c r="R326" s="23"/>
      <c r="S326" s="942"/>
      <c r="T326" s="23"/>
      <c r="U326" s="23"/>
      <c r="V326" s="23"/>
      <c r="W326" s="23"/>
      <c r="X326" s="23"/>
      <c r="Y326" s="23"/>
      <c r="Z326" s="23"/>
      <c r="AA326" s="23"/>
      <c r="AB326" s="23"/>
      <c r="AC326" s="23"/>
      <c r="AD326" s="23"/>
      <c r="AE326" s="23"/>
      <c r="AF326" s="23"/>
      <c r="AG326" s="23"/>
      <c r="AH326" s="23"/>
      <c r="AI326" s="23"/>
      <c r="AJ326" s="23"/>
      <c r="AK326" s="23"/>
      <c r="AL326" s="23"/>
      <c r="AM326" s="23"/>
      <c r="AN326" s="23"/>
    </row>
    <row r="327" spans="5:40" ht="12.75" hidden="1" x14ac:dyDescent="0.2">
      <c r="E327" s="11"/>
      <c r="K327" s="802" t="s">
        <v>1166</v>
      </c>
      <c r="M327" s="23"/>
      <c r="N327" s="949"/>
      <c r="O327" s="23"/>
      <c r="R327" s="23"/>
      <c r="S327" s="942"/>
      <c r="T327" s="23"/>
      <c r="U327" s="23"/>
      <c r="V327" s="23"/>
      <c r="W327" s="23"/>
      <c r="X327" s="23"/>
      <c r="Y327" s="23"/>
      <c r="Z327" s="23"/>
      <c r="AA327" s="23"/>
      <c r="AB327" s="23"/>
      <c r="AC327" s="23"/>
      <c r="AD327" s="23"/>
      <c r="AE327" s="23"/>
      <c r="AF327" s="23"/>
      <c r="AG327" s="23"/>
      <c r="AH327" s="23"/>
      <c r="AI327" s="23"/>
      <c r="AJ327" s="23"/>
      <c r="AK327" s="23"/>
      <c r="AL327" s="23"/>
      <c r="AM327" s="23"/>
      <c r="AN327" s="23"/>
    </row>
    <row r="328" spans="5:40" ht="12.75" hidden="1" x14ac:dyDescent="0.2">
      <c r="E328" s="11"/>
      <c r="K328" s="802" t="s">
        <v>1169</v>
      </c>
      <c r="M328" s="23"/>
      <c r="N328" s="949"/>
      <c r="O328" s="23"/>
      <c r="R328" s="23"/>
      <c r="S328" s="942"/>
      <c r="T328" s="23"/>
      <c r="U328" s="23"/>
      <c r="V328" s="23"/>
      <c r="W328" s="23"/>
      <c r="X328" s="23"/>
      <c r="Y328" s="23"/>
      <c r="Z328" s="23"/>
      <c r="AA328" s="23"/>
      <c r="AB328" s="23"/>
      <c r="AC328" s="23"/>
      <c r="AD328" s="23"/>
      <c r="AE328" s="23"/>
      <c r="AF328" s="23"/>
      <c r="AG328" s="23"/>
      <c r="AH328" s="23"/>
      <c r="AI328" s="23"/>
      <c r="AJ328" s="23"/>
      <c r="AK328" s="23"/>
      <c r="AL328" s="23"/>
      <c r="AM328" s="23"/>
      <c r="AN328" s="23"/>
    </row>
    <row r="329" spans="5:40" ht="12.75" hidden="1" x14ac:dyDescent="0.2">
      <c r="E329" s="11"/>
      <c r="K329" s="802" t="s">
        <v>1170</v>
      </c>
      <c r="M329" s="23"/>
      <c r="N329" s="949"/>
      <c r="O329" s="23"/>
      <c r="R329" s="23"/>
      <c r="S329" s="942"/>
      <c r="T329" s="23"/>
      <c r="U329" s="23"/>
      <c r="V329" s="23"/>
      <c r="W329" s="23"/>
      <c r="X329" s="23"/>
      <c r="Y329" s="23"/>
      <c r="Z329" s="23"/>
      <c r="AA329" s="23"/>
      <c r="AB329" s="23"/>
      <c r="AC329" s="23"/>
      <c r="AD329" s="23"/>
      <c r="AE329" s="23"/>
      <c r="AF329" s="23"/>
      <c r="AG329" s="23"/>
      <c r="AH329" s="23"/>
      <c r="AI329" s="23"/>
      <c r="AJ329" s="23"/>
      <c r="AK329" s="23"/>
      <c r="AL329" s="23"/>
      <c r="AM329" s="23"/>
      <c r="AN329" s="23"/>
    </row>
    <row r="330" spans="5:40" ht="12.75" hidden="1" x14ac:dyDescent="0.2">
      <c r="E330" s="11"/>
      <c r="K330" s="802" t="s">
        <v>1172</v>
      </c>
      <c r="M330" s="23"/>
      <c r="N330" s="949"/>
      <c r="O330" s="23"/>
      <c r="R330" s="23"/>
      <c r="S330" s="942"/>
      <c r="T330" s="23"/>
      <c r="U330" s="23"/>
      <c r="V330" s="23"/>
      <c r="W330" s="23"/>
      <c r="X330" s="23"/>
      <c r="Y330" s="23"/>
      <c r="Z330" s="23"/>
      <c r="AA330" s="23"/>
      <c r="AB330" s="23"/>
      <c r="AC330" s="23"/>
      <c r="AD330" s="23"/>
      <c r="AE330" s="23"/>
      <c r="AF330" s="23"/>
      <c r="AG330" s="23"/>
      <c r="AH330" s="23"/>
      <c r="AI330" s="23"/>
      <c r="AJ330" s="23"/>
      <c r="AK330" s="23"/>
      <c r="AL330" s="23"/>
      <c r="AM330" s="23"/>
      <c r="AN330" s="23"/>
    </row>
    <row r="331" spans="5:40" ht="12.75" hidden="1" x14ac:dyDescent="0.2">
      <c r="E331" s="11"/>
      <c r="K331" s="802" t="s">
        <v>1173</v>
      </c>
      <c r="M331" s="23"/>
      <c r="N331" s="949"/>
      <c r="O331" s="23"/>
      <c r="R331" s="23"/>
      <c r="S331" s="942"/>
      <c r="T331" s="23"/>
      <c r="U331" s="23"/>
      <c r="V331" s="23"/>
      <c r="W331" s="23"/>
      <c r="X331" s="23"/>
      <c r="Y331" s="23"/>
      <c r="Z331" s="23"/>
      <c r="AA331" s="23"/>
      <c r="AB331" s="23"/>
      <c r="AC331" s="23"/>
      <c r="AD331" s="23"/>
      <c r="AE331" s="23"/>
      <c r="AF331" s="23"/>
      <c r="AG331" s="23"/>
      <c r="AH331" s="23"/>
      <c r="AI331" s="23"/>
      <c r="AJ331" s="23"/>
      <c r="AK331" s="23"/>
      <c r="AL331" s="23"/>
      <c r="AM331" s="23"/>
      <c r="AN331" s="23"/>
    </row>
    <row r="332" spans="5:40" ht="12.75" hidden="1" x14ac:dyDescent="0.2">
      <c r="E332" s="11"/>
      <c r="K332" s="802" t="s">
        <v>1175</v>
      </c>
      <c r="M332" s="23"/>
      <c r="N332" s="949"/>
      <c r="O332" s="23"/>
      <c r="R332" s="23"/>
      <c r="S332" s="942"/>
      <c r="T332" s="23"/>
      <c r="U332" s="23"/>
      <c r="V332" s="23"/>
      <c r="W332" s="23"/>
      <c r="X332" s="23"/>
      <c r="Y332" s="23"/>
      <c r="Z332" s="23"/>
      <c r="AA332" s="23"/>
      <c r="AB332" s="23"/>
      <c r="AC332" s="23"/>
      <c r="AD332" s="23"/>
      <c r="AE332" s="23"/>
      <c r="AF332" s="23"/>
      <c r="AG332" s="23"/>
      <c r="AH332" s="23"/>
      <c r="AI332" s="23"/>
      <c r="AJ332" s="23"/>
      <c r="AK332" s="23"/>
      <c r="AL332" s="23"/>
      <c r="AM332" s="23"/>
      <c r="AN332" s="23"/>
    </row>
    <row r="333" spans="5:40" ht="12.75" hidden="1" x14ac:dyDescent="0.2">
      <c r="E333" s="11"/>
      <c r="K333" s="802" t="s">
        <v>1177</v>
      </c>
      <c r="M333" s="23"/>
      <c r="N333" s="949"/>
      <c r="O333" s="23"/>
      <c r="R333" s="23"/>
      <c r="S333" s="942"/>
      <c r="T333" s="23"/>
      <c r="U333" s="23"/>
      <c r="V333" s="23"/>
      <c r="W333" s="23"/>
      <c r="X333" s="23"/>
      <c r="Y333" s="23"/>
      <c r="Z333" s="23"/>
      <c r="AA333" s="23"/>
      <c r="AB333" s="23"/>
      <c r="AC333" s="23"/>
      <c r="AD333" s="23"/>
      <c r="AE333" s="23"/>
      <c r="AF333" s="23"/>
      <c r="AG333" s="23"/>
      <c r="AH333" s="23"/>
      <c r="AI333" s="23"/>
      <c r="AJ333" s="23"/>
      <c r="AK333" s="23"/>
      <c r="AL333" s="23"/>
      <c r="AM333" s="23"/>
      <c r="AN333" s="23"/>
    </row>
    <row r="334" spans="5:40" ht="12.75" hidden="1" x14ac:dyDescent="0.2">
      <c r="E334" s="11"/>
      <c r="K334" s="802" t="s">
        <v>1179</v>
      </c>
      <c r="M334" s="23"/>
      <c r="N334" s="949"/>
      <c r="O334" s="23"/>
      <c r="R334" s="23"/>
      <c r="S334" s="942"/>
      <c r="T334" s="23"/>
      <c r="U334" s="23"/>
      <c r="V334" s="23"/>
      <c r="W334" s="23"/>
      <c r="X334" s="23"/>
      <c r="Y334" s="23"/>
      <c r="Z334" s="23"/>
      <c r="AA334" s="23"/>
      <c r="AB334" s="23"/>
      <c r="AC334" s="23"/>
      <c r="AD334" s="23"/>
      <c r="AE334" s="23"/>
      <c r="AF334" s="23"/>
      <c r="AG334" s="23"/>
      <c r="AH334" s="23"/>
      <c r="AI334" s="23"/>
      <c r="AJ334" s="23"/>
      <c r="AK334" s="23"/>
      <c r="AL334" s="23"/>
      <c r="AM334" s="23"/>
      <c r="AN334" s="23"/>
    </row>
    <row r="335" spans="5:40" ht="12.75" hidden="1" x14ac:dyDescent="0.2">
      <c r="E335" s="11"/>
      <c r="K335" s="802" t="s">
        <v>1181</v>
      </c>
      <c r="M335" s="23"/>
      <c r="N335" s="949"/>
      <c r="O335" s="23"/>
      <c r="R335" s="23"/>
      <c r="S335" s="942"/>
      <c r="T335" s="23"/>
      <c r="U335" s="23"/>
      <c r="V335" s="23"/>
      <c r="W335" s="23"/>
      <c r="X335" s="23"/>
      <c r="Y335" s="23"/>
      <c r="Z335" s="23"/>
      <c r="AA335" s="23"/>
      <c r="AB335" s="23"/>
      <c r="AC335" s="23"/>
      <c r="AD335" s="23"/>
      <c r="AE335" s="23"/>
      <c r="AF335" s="23"/>
      <c r="AG335" s="23"/>
      <c r="AH335" s="23"/>
      <c r="AI335" s="23"/>
      <c r="AJ335" s="23"/>
      <c r="AK335" s="23"/>
      <c r="AL335" s="23"/>
      <c r="AM335" s="23"/>
      <c r="AN335" s="23"/>
    </row>
    <row r="336" spans="5:40" ht="12.75" hidden="1" x14ac:dyDescent="0.2">
      <c r="E336" s="11"/>
      <c r="K336" s="802" t="s">
        <v>1183</v>
      </c>
      <c r="M336" s="23"/>
      <c r="N336" s="949"/>
      <c r="O336" s="23"/>
      <c r="R336" s="23"/>
      <c r="S336" s="942"/>
      <c r="T336" s="23"/>
      <c r="U336" s="23"/>
      <c r="V336" s="23"/>
      <c r="W336" s="23"/>
      <c r="X336" s="23"/>
      <c r="Y336" s="23"/>
      <c r="Z336" s="23"/>
      <c r="AA336" s="23"/>
      <c r="AB336" s="23"/>
      <c r="AC336" s="23"/>
      <c r="AD336" s="23"/>
      <c r="AE336" s="23"/>
      <c r="AF336" s="23"/>
      <c r="AG336" s="23"/>
      <c r="AH336" s="23"/>
      <c r="AI336" s="23"/>
      <c r="AJ336" s="23"/>
      <c r="AK336" s="23"/>
      <c r="AL336" s="23"/>
      <c r="AM336" s="23"/>
      <c r="AN336" s="23"/>
    </row>
    <row r="337" spans="5:40" ht="12.75" hidden="1" x14ac:dyDescent="0.2">
      <c r="E337" s="11"/>
      <c r="K337" s="802" t="s">
        <v>1185</v>
      </c>
      <c r="M337" s="23"/>
      <c r="N337" s="949"/>
      <c r="O337" s="23"/>
      <c r="R337" s="23"/>
      <c r="S337" s="942"/>
      <c r="T337" s="23"/>
      <c r="U337" s="23"/>
      <c r="V337" s="23"/>
      <c r="W337" s="23"/>
      <c r="X337" s="23"/>
      <c r="Y337" s="23"/>
      <c r="Z337" s="23"/>
      <c r="AA337" s="23"/>
      <c r="AB337" s="23"/>
      <c r="AC337" s="23"/>
      <c r="AD337" s="23"/>
      <c r="AE337" s="23"/>
      <c r="AF337" s="23"/>
      <c r="AG337" s="23"/>
      <c r="AH337" s="23"/>
      <c r="AI337" s="23"/>
      <c r="AJ337" s="23"/>
      <c r="AK337" s="23"/>
      <c r="AL337" s="23"/>
      <c r="AM337" s="23"/>
      <c r="AN337" s="23"/>
    </row>
    <row r="338" spans="5:40" ht="12.75" hidden="1" x14ac:dyDescent="0.2">
      <c r="E338" s="11"/>
      <c r="K338" s="802" t="s">
        <v>1187</v>
      </c>
      <c r="M338" s="23"/>
      <c r="N338" s="949"/>
      <c r="O338" s="23"/>
      <c r="R338" s="23"/>
      <c r="S338" s="942"/>
      <c r="T338" s="23"/>
      <c r="U338" s="23"/>
      <c r="V338" s="23"/>
      <c r="W338" s="23"/>
      <c r="X338" s="23"/>
      <c r="Y338" s="23"/>
      <c r="Z338" s="23"/>
      <c r="AA338" s="23"/>
      <c r="AB338" s="23"/>
      <c r="AC338" s="23"/>
      <c r="AD338" s="23"/>
      <c r="AE338" s="23"/>
      <c r="AF338" s="23"/>
      <c r="AG338" s="23"/>
      <c r="AH338" s="23"/>
      <c r="AI338" s="23"/>
      <c r="AJ338" s="23"/>
      <c r="AK338" s="23"/>
      <c r="AL338" s="23"/>
      <c r="AM338" s="23"/>
      <c r="AN338" s="23"/>
    </row>
    <row r="339" spans="5:40" ht="12.75" hidden="1" x14ac:dyDescent="0.2">
      <c r="E339" s="11"/>
      <c r="K339" s="802" t="s">
        <v>1189</v>
      </c>
      <c r="M339" s="23"/>
      <c r="N339" s="949"/>
      <c r="O339" s="23"/>
      <c r="R339" s="23"/>
      <c r="S339" s="942"/>
      <c r="T339" s="23"/>
      <c r="U339" s="23"/>
      <c r="V339" s="23"/>
      <c r="W339" s="23"/>
      <c r="X339" s="23"/>
      <c r="Y339" s="23"/>
      <c r="Z339" s="23"/>
      <c r="AA339" s="23"/>
      <c r="AB339" s="23"/>
      <c r="AC339" s="23"/>
      <c r="AD339" s="23"/>
      <c r="AE339" s="23"/>
      <c r="AF339" s="23"/>
      <c r="AG339" s="23"/>
      <c r="AH339" s="23"/>
      <c r="AI339" s="23"/>
      <c r="AJ339" s="23"/>
      <c r="AK339" s="23"/>
      <c r="AL339" s="23"/>
      <c r="AM339" s="23"/>
      <c r="AN339" s="23"/>
    </row>
    <row r="340" spans="5:40" ht="12.75" hidden="1" x14ac:dyDescent="0.2">
      <c r="E340" s="11"/>
      <c r="K340" s="802" t="s">
        <v>1191</v>
      </c>
      <c r="M340" s="23"/>
      <c r="N340" s="949"/>
      <c r="O340" s="23"/>
      <c r="R340" s="23"/>
      <c r="S340" s="942"/>
      <c r="T340" s="23"/>
      <c r="U340" s="23"/>
      <c r="V340" s="23"/>
      <c r="W340" s="23"/>
      <c r="X340" s="23"/>
      <c r="Y340" s="23"/>
      <c r="Z340" s="23"/>
      <c r="AA340" s="23"/>
      <c r="AB340" s="23"/>
      <c r="AC340" s="23"/>
      <c r="AD340" s="23"/>
      <c r="AE340" s="23"/>
      <c r="AF340" s="23"/>
      <c r="AG340" s="23"/>
      <c r="AH340" s="23"/>
      <c r="AI340" s="23"/>
      <c r="AJ340" s="23"/>
      <c r="AK340" s="23"/>
      <c r="AL340" s="23"/>
      <c r="AM340" s="23"/>
      <c r="AN340" s="23"/>
    </row>
    <row r="341" spans="5:40" ht="12.75" hidden="1" x14ac:dyDescent="0.2">
      <c r="E341" s="11"/>
      <c r="K341" s="802" t="s">
        <v>1193</v>
      </c>
      <c r="M341" s="23"/>
      <c r="N341" s="949"/>
      <c r="O341" s="23"/>
      <c r="R341" s="23"/>
      <c r="S341" s="942"/>
      <c r="T341" s="23"/>
      <c r="U341" s="23"/>
      <c r="V341" s="23"/>
      <c r="W341" s="23"/>
      <c r="X341" s="23"/>
      <c r="Y341" s="23"/>
      <c r="Z341" s="23"/>
      <c r="AA341" s="23"/>
      <c r="AB341" s="23"/>
      <c r="AC341" s="23"/>
      <c r="AD341" s="23"/>
      <c r="AE341" s="23"/>
      <c r="AF341" s="23"/>
      <c r="AG341" s="23"/>
      <c r="AH341" s="23"/>
      <c r="AI341" s="23"/>
      <c r="AJ341" s="23"/>
      <c r="AK341" s="23"/>
      <c r="AL341" s="23"/>
      <c r="AM341" s="23"/>
      <c r="AN341" s="23"/>
    </row>
    <row r="342" spans="5:40" ht="12.75" hidden="1" x14ac:dyDescent="0.2">
      <c r="E342" s="11"/>
      <c r="K342" s="802" t="s">
        <v>1195</v>
      </c>
      <c r="M342" s="23"/>
      <c r="N342" s="949"/>
      <c r="O342" s="23"/>
      <c r="R342" s="23"/>
      <c r="S342" s="942"/>
      <c r="T342" s="23"/>
      <c r="U342" s="23"/>
      <c r="V342" s="23"/>
      <c r="W342" s="23"/>
      <c r="X342" s="23"/>
      <c r="Y342" s="23"/>
      <c r="Z342" s="23"/>
      <c r="AA342" s="23"/>
      <c r="AB342" s="23"/>
      <c r="AC342" s="23"/>
      <c r="AD342" s="23"/>
      <c r="AE342" s="23"/>
      <c r="AF342" s="23"/>
      <c r="AG342" s="23"/>
      <c r="AH342" s="23"/>
      <c r="AI342" s="23"/>
      <c r="AJ342" s="23"/>
      <c r="AK342" s="23"/>
      <c r="AL342" s="23"/>
      <c r="AM342" s="23"/>
      <c r="AN342" s="23"/>
    </row>
    <row r="343" spans="5:40" ht="12.75" hidden="1" x14ac:dyDescent="0.2">
      <c r="E343" s="11"/>
      <c r="K343" s="802" t="s">
        <v>1197</v>
      </c>
      <c r="M343" s="23"/>
      <c r="N343" s="949"/>
      <c r="O343" s="23"/>
      <c r="R343" s="23"/>
      <c r="S343" s="942"/>
      <c r="T343" s="23"/>
      <c r="U343" s="23"/>
      <c r="V343" s="23"/>
      <c r="W343" s="23"/>
      <c r="X343" s="23"/>
      <c r="Y343" s="23"/>
      <c r="Z343" s="23"/>
      <c r="AA343" s="23"/>
      <c r="AB343" s="23"/>
      <c r="AC343" s="23"/>
      <c r="AD343" s="23"/>
      <c r="AE343" s="23"/>
      <c r="AF343" s="23"/>
      <c r="AG343" s="23"/>
      <c r="AH343" s="23"/>
      <c r="AI343" s="23"/>
      <c r="AJ343" s="23"/>
      <c r="AK343" s="23"/>
      <c r="AL343" s="23"/>
      <c r="AM343" s="23"/>
      <c r="AN343" s="23"/>
    </row>
    <row r="344" spans="5:40" ht="12.75" hidden="1" x14ac:dyDescent="0.2">
      <c r="E344" s="11"/>
      <c r="K344" s="802" t="s">
        <v>1198</v>
      </c>
      <c r="M344" s="23"/>
      <c r="N344" s="949"/>
      <c r="O344" s="23"/>
      <c r="R344" s="23"/>
      <c r="S344" s="942"/>
      <c r="T344" s="23"/>
      <c r="U344" s="23"/>
      <c r="V344" s="23"/>
      <c r="W344" s="23"/>
      <c r="X344" s="23"/>
      <c r="Y344" s="23"/>
      <c r="Z344" s="23"/>
      <c r="AA344" s="23"/>
      <c r="AB344" s="23"/>
      <c r="AC344" s="23"/>
      <c r="AD344" s="23"/>
      <c r="AE344" s="23"/>
      <c r="AF344" s="23"/>
      <c r="AG344" s="23"/>
      <c r="AH344" s="23"/>
      <c r="AI344" s="23"/>
      <c r="AJ344" s="23"/>
      <c r="AK344" s="23"/>
      <c r="AL344" s="23"/>
      <c r="AM344" s="23"/>
      <c r="AN344" s="23"/>
    </row>
    <row r="345" spans="5:40" ht="12.75" hidden="1" x14ac:dyDescent="0.2">
      <c r="E345" s="11"/>
      <c r="K345" s="802" t="s">
        <v>1200</v>
      </c>
      <c r="M345" s="23"/>
      <c r="N345" s="949"/>
      <c r="O345" s="23"/>
      <c r="R345" s="23"/>
      <c r="S345" s="942"/>
      <c r="T345" s="23"/>
      <c r="U345" s="23"/>
      <c r="V345" s="23"/>
      <c r="W345" s="23"/>
      <c r="X345" s="23"/>
      <c r="Y345" s="23"/>
      <c r="Z345" s="23"/>
      <c r="AA345" s="23"/>
      <c r="AB345" s="23"/>
      <c r="AC345" s="23"/>
      <c r="AD345" s="23"/>
      <c r="AE345" s="23"/>
      <c r="AF345" s="23"/>
      <c r="AG345" s="23"/>
      <c r="AH345" s="23"/>
      <c r="AI345" s="23"/>
      <c r="AJ345" s="23"/>
      <c r="AK345" s="23"/>
      <c r="AL345" s="23"/>
      <c r="AM345" s="23"/>
      <c r="AN345" s="23"/>
    </row>
    <row r="346" spans="5:40" ht="12.75" hidden="1" x14ac:dyDescent="0.2">
      <c r="E346" s="11"/>
      <c r="K346" s="802" t="s">
        <v>1202</v>
      </c>
      <c r="M346" s="23"/>
      <c r="N346" s="949"/>
      <c r="O346" s="23"/>
      <c r="R346" s="23"/>
      <c r="S346" s="942"/>
      <c r="T346" s="23"/>
      <c r="U346" s="23"/>
      <c r="V346" s="23"/>
      <c r="W346" s="23"/>
      <c r="X346" s="23"/>
      <c r="Y346" s="23"/>
      <c r="Z346" s="23"/>
      <c r="AA346" s="23"/>
      <c r="AB346" s="23"/>
      <c r="AC346" s="23"/>
      <c r="AD346" s="23"/>
      <c r="AE346" s="23"/>
      <c r="AF346" s="23"/>
      <c r="AG346" s="23"/>
      <c r="AH346" s="23"/>
      <c r="AI346" s="23"/>
      <c r="AJ346" s="23"/>
      <c r="AK346" s="23"/>
      <c r="AL346" s="23"/>
      <c r="AM346" s="23"/>
      <c r="AN346" s="23"/>
    </row>
    <row r="347" spans="5:40" ht="12.75" hidden="1" x14ac:dyDescent="0.2">
      <c r="E347" s="11"/>
      <c r="K347" s="802" t="s">
        <v>1203</v>
      </c>
      <c r="M347" s="23"/>
      <c r="N347" s="949"/>
      <c r="O347" s="23"/>
      <c r="R347" s="23"/>
      <c r="S347" s="942"/>
      <c r="T347" s="23"/>
      <c r="U347" s="23"/>
      <c r="V347" s="23"/>
      <c r="W347" s="23"/>
      <c r="X347" s="23"/>
      <c r="Y347" s="23"/>
      <c r="Z347" s="23"/>
      <c r="AA347" s="23"/>
      <c r="AB347" s="23"/>
      <c r="AC347" s="23"/>
      <c r="AD347" s="23"/>
      <c r="AE347" s="23"/>
      <c r="AF347" s="23"/>
      <c r="AG347" s="23"/>
      <c r="AH347" s="23"/>
      <c r="AI347" s="23"/>
      <c r="AJ347" s="23"/>
      <c r="AK347" s="23"/>
      <c r="AL347" s="23"/>
      <c r="AM347" s="23"/>
      <c r="AN347" s="23"/>
    </row>
    <row r="348" spans="5:40" ht="12.75" hidden="1" x14ac:dyDescent="0.2">
      <c r="E348" s="11"/>
      <c r="K348" s="802" t="s">
        <v>1205</v>
      </c>
      <c r="M348" s="23"/>
      <c r="N348" s="949"/>
      <c r="O348" s="23"/>
      <c r="R348" s="23"/>
      <c r="S348" s="942"/>
      <c r="T348" s="23"/>
      <c r="U348" s="23"/>
      <c r="V348" s="23"/>
      <c r="W348" s="23"/>
      <c r="X348" s="23"/>
      <c r="Y348" s="23"/>
      <c r="Z348" s="23"/>
      <c r="AA348" s="23"/>
      <c r="AB348" s="23"/>
      <c r="AC348" s="23"/>
      <c r="AD348" s="23"/>
      <c r="AE348" s="23"/>
      <c r="AF348" s="23"/>
      <c r="AG348" s="23"/>
      <c r="AH348" s="23"/>
      <c r="AI348" s="23"/>
      <c r="AJ348" s="23"/>
      <c r="AK348" s="23"/>
      <c r="AL348" s="23"/>
      <c r="AM348" s="23"/>
      <c r="AN348" s="23"/>
    </row>
    <row r="349" spans="5:40" ht="12.75" hidden="1" x14ac:dyDescent="0.2">
      <c r="E349" s="11"/>
      <c r="K349" s="802" t="s">
        <v>1207</v>
      </c>
      <c r="M349" s="23"/>
      <c r="N349" s="949"/>
      <c r="O349" s="23"/>
      <c r="R349" s="23"/>
      <c r="S349" s="942"/>
      <c r="T349" s="23"/>
      <c r="U349" s="23"/>
      <c r="V349" s="23"/>
      <c r="W349" s="23"/>
      <c r="X349" s="23"/>
      <c r="Y349" s="23"/>
      <c r="Z349" s="23"/>
      <c r="AA349" s="23"/>
      <c r="AB349" s="23"/>
      <c r="AC349" s="23"/>
      <c r="AD349" s="23"/>
      <c r="AE349" s="23"/>
      <c r="AF349" s="23"/>
      <c r="AG349" s="23"/>
      <c r="AH349" s="23"/>
      <c r="AI349" s="23"/>
      <c r="AJ349" s="23"/>
      <c r="AK349" s="23"/>
      <c r="AL349" s="23"/>
      <c r="AM349" s="23"/>
      <c r="AN349" s="23"/>
    </row>
    <row r="350" spans="5:40" ht="12.75" hidden="1" x14ac:dyDescent="0.2">
      <c r="E350" s="11"/>
      <c r="K350" s="802" t="s">
        <v>1209</v>
      </c>
      <c r="M350" s="23"/>
      <c r="N350" s="949"/>
      <c r="O350" s="23"/>
      <c r="R350" s="23"/>
      <c r="S350" s="942"/>
      <c r="T350" s="23"/>
      <c r="U350" s="23"/>
      <c r="V350" s="23"/>
      <c r="W350" s="23"/>
      <c r="X350" s="23"/>
      <c r="Y350" s="23"/>
      <c r="Z350" s="23"/>
      <c r="AA350" s="23"/>
      <c r="AB350" s="23"/>
      <c r="AC350" s="23"/>
      <c r="AD350" s="23"/>
      <c r="AE350" s="23"/>
      <c r="AF350" s="23"/>
      <c r="AG350" s="23"/>
      <c r="AH350" s="23"/>
      <c r="AI350" s="23"/>
      <c r="AJ350" s="23"/>
      <c r="AK350" s="23"/>
      <c r="AL350" s="23"/>
      <c r="AM350" s="23"/>
      <c r="AN350" s="23"/>
    </row>
    <row r="351" spans="5:40" x14ac:dyDescent="0.2">
      <c r="E351" s="11"/>
      <c r="M351" s="23"/>
      <c r="N351" s="949"/>
      <c r="O351" s="23"/>
      <c r="R351" s="23"/>
      <c r="S351" s="942"/>
      <c r="T351" s="23"/>
      <c r="U351" s="23"/>
      <c r="V351" s="23"/>
      <c r="W351" s="23"/>
      <c r="X351" s="23"/>
      <c r="Y351" s="23"/>
      <c r="Z351" s="23"/>
      <c r="AA351" s="23"/>
      <c r="AB351" s="23"/>
      <c r="AC351" s="23"/>
      <c r="AD351" s="23"/>
      <c r="AE351" s="23"/>
      <c r="AF351" s="23"/>
      <c r="AG351" s="23"/>
      <c r="AH351" s="23"/>
      <c r="AI351" s="23"/>
      <c r="AJ351" s="23"/>
      <c r="AK351" s="23"/>
      <c r="AL351" s="23"/>
      <c r="AM351" s="23"/>
      <c r="AN351" s="23"/>
    </row>
    <row r="352" spans="5:40" x14ac:dyDescent="0.2">
      <c r="E352" s="11"/>
      <c r="M352" s="23"/>
      <c r="N352" s="949"/>
      <c r="O352" s="23"/>
      <c r="R352" s="23"/>
      <c r="S352" s="942"/>
      <c r="T352" s="23"/>
      <c r="U352" s="23"/>
      <c r="V352" s="23"/>
      <c r="W352" s="23"/>
      <c r="X352" s="23"/>
      <c r="Y352" s="23"/>
      <c r="Z352" s="23"/>
      <c r="AA352" s="23"/>
      <c r="AB352" s="23"/>
      <c r="AC352" s="23"/>
      <c r="AD352" s="23"/>
      <c r="AE352" s="23"/>
      <c r="AF352" s="23"/>
      <c r="AG352" s="23"/>
      <c r="AH352" s="23"/>
      <c r="AI352" s="23"/>
      <c r="AJ352" s="23"/>
      <c r="AK352" s="23"/>
      <c r="AL352" s="23"/>
      <c r="AM352" s="23"/>
      <c r="AN352" s="23"/>
    </row>
    <row r="353" spans="5:40" x14ac:dyDescent="0.2">
      <c r="E353" s="11"/>
      <c r="M353" s="23"/>
      <c r="N353" s="949"/>
      <c r="O353" s="23"/>
      <c r="R353" s="23"/>
      <c r="S353" s="942"/>
      <c r="T353" s="23"/>
      <c r="U353" s="23"/>
      <c r="V353" s="23"/>
      <c r="W353" s="23"/>
      <c r="X353" s="23"/>
      <c r="Y353" s="23"/>
      <c r="Z353" s="23"/>
      <c r="AA353" s="23"/>
      <c r="AB353" s="23"/>
      <c r="AC353" s="23"/>
      <c r="AD353" s="23"/>
      <c r="AE353" s="23"/>
      <c r="AF353" s="23"/>
      <c r="AG353" s="23"/>
      <c r="AH353" s="23"/>
      <c r="AI353" s="23"/>
      <c r="AJ353" s="23"/>
      <c r="AK353" s="23"/>
      <c r="AL353" s="23"/>
      <c r="AM353" s="23"/>
      <c r="AN353" s="23"/>
    </row>
    <row r="354" spans="5:40" x14ac:dyDescent="0.2">
      <c r="E354" s="11"/>
      <c r="M354" s="23"/>
      <c r="N354" s="949"/>
      <c r="O354" s="23"/>
      <c r="R354" s="23"/>
      <c r="S354" s="942"/>
      <c r="T354" s="23"/>
      <c r="U354" s="23"/>
      <c r="V354" s="23"/>
      <c r="W354" s="23"/>
      <c r="X354" s="23"/>
      <c r="Y354" s="23"/>
      <c r="Z354" s="23"/>
      <c r="AA354" s="23"/>
      <c r="AB354" s="23"/>
      <c r="AC354" s="23"/>
      <c r="AD354" s="23"/>
      <c r="AE354" s="23"/>
      <c r="AF354" s="23"/>
      <c r="AG354" s="23"/>
      <c r="AH354" s="23"/>
      <c r="AI354" s="23"/>
      <c r="AJ354" s="23"/>
      <c r="AK354" s="23"/>
      <c r="AL354" s="23"/>
      <c r="AM354" s="23"/>
      <c r="AN354" s="23"/>
    </row>
    <row r="355" spans="5:40" x14ac:dyDescent="0.2">
      <c r="E355" s="11"/>
      <c r="M355" s="23"/>
      <c r="N355" s="949"/>
      <c r="O355" s="23"/>
      <c r="R355" s="23"/>
      <c r="S355" s="942"/>
      <c r="T355" s="23"/>
      <c r="U355" s="23"/>
      <c r="V355" s="23"/>
      <c r="W355" s="23"/>
      <c r="X355" s="23"/>
      <c r="Y355" s="23"/>
      <c r="Z355" s="23"/>
      <c r="AA355" s="23"/>
      <c r="AB355" s="23"/>
      <c r="AC355" s="23"/>
      <c r="AD355" s="23"/>
      <c r="AE355" s="23"/>
      <c r="AF355" s="23"/>
      <c r="AG355" s="23"/>
      <c r="AH355" s="23"/>
      <c r="AI355" s="23"/>
      <c r="AJ355" s="23"/>
      <c r="AK355" s="23"/>
      <c r="AL355" s="23"/>
      <c r="AM355" s="23"/>
      <c r="AN355" s="23"/>
    </row>
    <row r="356" spans="5:40" x14ac:dyDescent="0.2">
      <c r="E356" s="11"/>
      <c r="M356" s="23"/>
      <c r="N356" s="949"/>
      <c r="O356" s="23"/>
      <c r="R356" s="23"/>
      <c r="S356" s="942"/>
      <c r="T356" s="23"/>
      <c r="U356" s="23"/>
      <c r="V356" s="23"/>
      <c r="W356" s="23"/>
      <c r="X356" s="23"/>
      <c r="Y356" s="23"/>
      <c r="Z356" s="23"/>
      <c r="AA356" s="23"/>
      <c r="AB356" s="23"/>
      <c r="AC356" s="23"/>
      <c r="AD356" s="23"/>
      <c r="AE356" s="23"/>
      <c r="AF356" s="23"/>
      <c r="AG356" s="23"/>
      <c r="AH356" s="23"/>
      <c r="AI356" s="23"/>
      <c r="AJ356" s="23"/>
      <c r="AK356" s="23"/>
      <c r="AL356" s="23"/>
      <c r="AM356" s="23"/>
      <c r="AN356" s="23"/>
    </row>
    <row r="357" spans="5:40" x14ac:dyDescent="0.2">
      <c r="E357" s="11"/>
      <c r="M357" s="23"/>
      <c r="N357" s="949"/>
      <c r="O357" s="23"/>
      <c r="R357" s="23"/>
      <c r="S357" s="942"/>
      <c r="T357" s="23"/>
      <c r="U357" s="23"/>
      <c r="V357" s="23"/>
      <c r="W357" s="23"/>
      <c r="X357" s="23"/>
      <c r="Y357" s="23"/>
      <c r="Z357" s="23"/>
      <c r="AA357" s="23"/>
      <c r="AB357" s="23"/>
      <c r="AC357" s="23"/>
      <c r="AD357" s="23"/>
      <c r="AE357" s="23"/>
      <c r="AF357" s="23"/>
      <c r="AG357" s="23"/>
      <c r="AH357" s="23"/>
      <c r="AI357" s="23"/>
      <c r="AJ357" s="23"/>
      <c r="AK357" s="23"/>
      <c r="AL357" s="23"/>
      <c r="AM357" s="23"/>
      <c r="AN357" s="23"/>
    </row>
    <row r="358" spans="5:40" x14ac:dyDescent="0.2">
      <c r="E358" s="11"/>
      <c r="M358" s="23"/>
      <c r="N358" s="949"/>
      <c r="O358" s="23"/>
      <c r="R358" s="23"/>
      <c r="S358" s="942"/>
      <c r="T358" s="23"/>
      <c r="U358" s="23"/>
      <c r="V358" s="23"/>
      <c r="W358" s="23"/>
      <c r="X358" s="23"/>
      <c r="Y358" s="23"/>
      <c r="Z358" s="23"/>
      <c r="AA358" s="23"/>
      <c r="AB358" s="23"/>
      <c r="AC358" s="23"/>
      <c r="AD358" s="23"/>
      <c r="AE358" s="23"/>
      <c r="AF358" s="23"/>
      <c r="AG358" s="23"/>
      <c r="AH358" s="23"/>
      <c r="AI358" s="23"/>
      <c r="AJ358" s="23"/>
      <c r="AK358" s="23"/>
      <c r="AL358" s="23"/>
      <c r="AM358" s="23"/>
      <c r="AN358" s="23"/>
    </row>
    <row r="359" spans="5:40" x14ac:dyDescent="0.2">
      <c r="E359" s="11"/>
      <c r="M359" s="23"/>
      <c r="N359" s="949"/>
      <c r="O359" s="23"/>
      <c r="R359" s="23"/>
      <c r="S359" s="942"/>
      <c r="T359" s="23"/>
      <c r="U359" s="23"/>
      <c r="V359" s="23"/>
      <c r="W359" s="23"/>
      <c r="X359" s="23"/>
      <c r="Y359" s="23"/>
      <c r="Z359" s="23"/>
      <c r="AA359" s="23"/>
      <c r="AB359" s="23"/>
      <c r="AC359" s="23"/>
      <c r="AD359" s="23"/>
      <c r="AE359" s="23"/>
      <c r="AF359" s="23"/>
      <c r="AG359" s="23"/>
      <c r="AH359" s="23"/>
      <c r="AI359" s="23"/>
      <c r="AJ359" s="23"/>
      <c r="AK359" s="23"/>
      <c r="AL359" s="23"/>
      <c r="AM359" s="23"/>
      <c r="AN359" s="23"/>
    </row>
    <row r="360" spans="5:40" x14ac:dyDescent="0.2">
      <c r="E360" s="11"/>
      <c r="M360" s="23"/>
      <c r="N360" s="949"/>
      <c r="O360" s="23"/>
      <c r="R360" s="23"/>
      <c r="S360" s="942"/>
      <c r="T360" s="23"/>
      <c r="U360" s="23"/>
      <c r="V360" s="23"/>
      <c r="W360" s="23"/>
      <c r="X360" s="23"/>
      <c r="Y360" s="23"/>
      <c r="Z360" s="23"/>
      <c r="AA360" s="23"/>
      <c r="AB360" s="23"/>
      <c r="AC360" s="23"/>
      <c r="AD360" s="23"/>
      <c r="AE360" s="23"/>
      <c r="AF360" s="23"/>
      <c r="AG360" s="23"/>
      <c r="AH360" s="23"/>
      <c r="AI360" s="23"/>
      <c r="AJ360" s="23"/>
      <c r="AK360" s="23"/>
      <c r="AL360" s="23"/>
      <c r="AM360" s="23"/>
      <c r="AN360" s="23"/>
    </row>
    <row r="361" spans="5:40" x14ac:dyDescent="0.2">
      <c r="E361" s="11"/>
      <c r="M361" s="23"/>
      <c r="N361" s="949"/>
      <c r="O361" s="23"/>
      <c r="R361" s="23"/>
      <c r="S361" s="942"/>
      <c r="T361" s="23"/>
      <c r="U361" s="23"/>
      <c r="V361" s="23"/>
      <c r="W361" s="23"/>
      <c r="X361" s="23"/>
      <c r="Y361" s="23"/>
      <c r="Z361" s="23"/>
      <c r="AA361" s="23"/>
      <c r="AB361" s="23"/>
      <c r="AC361" s="23"/>
      <c r="AD361" s="23"/>
      <c r="AE361" s="23"/>
      <c r="AF361" s="23"/>
      <c r="AG361" s="23"/>
      <c r="AH361" s="23"/>
      <c r="AI361" s="23"/>
      <c r="AJ361" s="23"/>
      <c r="AK361" s="23"/>
      <c r="AL361" s="23"/>
      <c r="AM361" s="23"/>
      <c r="AN361" s="23"/>
    </row>
    <row r="362" spans="5:40" x14ac:dyDescent="0.2">
      <c r="E362" s="11"/>
      <c r="M362" s="23"/>
      <c r="N362" s="949"/>
      <c r="O362" s="23"/>
      <c r="R362" s="23"/>
      <c r="S362" s="942"/>
      <c r="T362" s="23"/>
      <c r="U362" s="23"/>
      <c r="V362" s="23"/>
      <c r="W362" s="23"/>
      <c r="X362" s="23"/>
      <c r="Y362" s="23"/>
      <c r="Z362" s="23"/>
      <c r="AA362" s="23"/>
      <c r="AB362" s="23"/>
      <c r="AC362" s="23"/>
      <c r="AD362" s="23"/>
      <c r="AE362" s="23"/>
      <c r="AF362" s="23"/>
      <c r="AG362" s="23"/>
      <c r="AH362" s="23"/>
      <c r="AI362" s="23"/>
      <c r="AJ362" s="23"/>
      <c r="AK362" s="23"/>
      <c r="AL362" s="23"/>
      <c r="AM362" s="23"/>
      <c r="AN362" s="23"/>
    </row>
    <row r="363" spans="5:40" x14ac:dyDescent="0.2">
      <c r="E363" s="11"/>
      <c r="M363" s="23"/>
      <c r="N363" s="949"/>
      <c r="O363" s="23"/>
      <c r="R363" s="23"/>
      <c r="S363" s="942"/>
      <c r="T363" s="23"/>
      <c r="U363" s="23"/>
      <c r="V363" s="23"/>
      <c r="W363" s="23"/>
      <c r="X363" s="23"/>
      <c r="Y363" s="23"/>
      <c r="Z363" s="23"/>
      <c r="AA363" s="23"/>
      <c r="AB363" s="23"/>
      <c r="AC363" s="23"/>
      <c r="AD363" s="23"/>
      <c r="AE363" s="23"/>
      <c r="AF363" s="23"/>
      <c r="AG363" s="23"/>
      <c r="AH363" s="23"/>
      <c r="AI363" s="23"/>
      <c r="AJ363" s="23"/>
      <c r="AK363" s="23"/>
      <c r="AL363" s="23"/>
      <c r="AM363" s="23"/>
      <c r="AN363" s="23"/>
    </row>
    <row r="364" spans="5:40" x14ac:dyDescent="0.2">
      <c r="E364" s="11"/>
      <c r="M364" s="23"/>
      <c r="N364" s="949"/>
      <c r="O364" s="23"/>
      <c r="R364" s="23"/>
      <c r="S364" s="942"/>
      <c r="T364" s="23"/>
      <c r="U364" s="23"/>
      <c r="V364" s="23"/>
      <c r="W364" s="23"/>
      <c r="X364" s="23"/>
      <c r="Y364" s="23"/>
      <c r="Z364" s="23"/>
      <c r="AA364" s="23"/>
      <c r="AB364" s="23"/>
      <c r="AC364" s="23"/>
      <c r="AD364" s="23"/>
      <c r="AE364" s="23"/>
      <c r="AF364" s="23"/>
      <c r="AG364" s="23"/>
      <c r="AH364" s="23"/>
      <c r="AI364" s="23"/>
      <c r="AJ364" s="23"/>
      <c r="AK364" s="23"/>
      <c r="AL364" s="23"/>
      <c r="AM364" s="23"/>
      <c r="AN364" s="23"/>
    </row>
    <row r="365" spans="5:40" x14ac:dyDescent="0.2">
      <c r="E365" s="11"/>
      <c r="M365" s="23"/>
      <c r="N365" s="949"/>
      <c r="O365" s="23"/>
      <c r="R365" s="23"/>
      <c r="S365" s="942"/>
      <c r="T365" s="23"/>
      <c r="U365" s="23"/>
      <c r="V365" s="23"/>
      <c r="W365" s="23"/>
      <c r="X365" s="23"/>
      <c r="Y365" s="23"/>
      <c r="Z365" s="23"/>
      <c r="AA365" s="23"/>
      <c r="AB365" s="23"/>
      <c r="AC365" s="23"/>
      <c r="AD365" s="23"/>
      <c r="AE365" s="23"/>
      <c r="AF365" s="23"/>
      <c r="AG365" s="23"/>
      <c r="AH365" s="23"/>
      <c r="AI365" s="23"/>
      <c r="AJ365" s="23"/>
      <c r="AK365" s="23"/>
      <c r="AL365" s="23"/>
      <c r="AM365" s="23"/>
      <c r="AN365" s="23"/>
    </row>
    <row r="366" spans="5:40" x14ac:dyDescent="0.2">
      <c r="E366" s="11"/>
      <c r="M366" s="23"/>
      <c r="N366" s="949"/>
      <c r="O366" s="23"/>
      <c r="R366" s="23"/>
      <c r="S366" s="942"/>
      <c r="T366" s="23"/>
      <c r="U366" s="23"/>
      <c r="V366" s="23"/>
      <c r="W366" s="23"/>
      <c r="X366" s="23"/>
      <c r="Y366" s="23"/>
      <c r="Z366" s="23"/>
      <c r="AA366" s="23"/>
      <c r="AB366" s="23"/>
      <c r="AC366" s="23"/>
      <c r="AD366" s="23"/>
      <c r="AE366" s="23"/>
      <c r="AF366" s="23"/>
      <c r="AG366" s="23"/>
      <c r="AH366" s="23"/>
      <c r="AI366" s="23"/>
      <c r="AJ366" s="23"/>
      <c r="AK366" s="23"/>
      <c r="AL366" s="23"/>
      <c r="AM366" s="23"/>
      <c r="AN366" s="23"/>
    </row>
    <row r="367" spans="5:40" x14ac:dyDescent="0.2">
      <c r="E367" s="11"/>
      <c r="M367" s="23"/>
      <c r="N367" s="949"/>
      <c r="O367" s="23"/>
      <c r="R367" s="23"/>
      <c r="S367" s="942"/>
      <c r="T367" s="23"/>
      <c r="U367" s="23"/>
      <c r="V367" s="23"/>
      <c r="W367" s="23"/>
      <c r="X367" s="23"/>
      <c r="Y367" s="23"/>
      <c r="Z367" s="23"/>
      <c r="AA367" s="23"/>
      <c r="AB367" s="23"/>
      <c r="AC367" s="23"/>
      <c r="AD367" s="23"/>
      <c r="AE367" s="23"/>
      <c r="AF367" s="23"/>
      <c r="AG367" s="23"/>
      <c r="AH367" s="23"/>
      <c r="AI367" s="23"/>
      <c r="AJ367" s="23"/>
      <c r="AK367" s="23"/>
      <c r="AL367" s="23"/>
      <c r="AM367" s="23"/>
      <c r="AN367" s="23"/>
    </row>
    <row r="368" spans="5:40" x14ac:dyDescent="0.2">
      <c r="E368" s="11"/>
      <c r="M368" s="23"/>
      <c r="N368" s="949"/>
      <c r="O368" s="23"/>
      <c r="R368" s="23"/>
      <c r="S368" s="942"/>
      <c r="T368" s="23"/>
      <c r="U368" s="23"/>
      <c r="V368" s="23"/>
      <c r="W368" s="23"/>
      <c r="X368" s="23"/>
      <c r="Y368" s="23"/>
      <c r="Z368" s="23"/>
      <c r="AA368" s="23"/>
      <c r="AB368" s="23"/>
      <c r="AC368" s="23"/>
      <c r="AD368" s="23"/>
      <c r="AE368" s="23"/>
      <c r="AF368" s="23"/>
      <c r="AG368" s="23"/>
      <c r="AH368" s="23"/>
      <c r="AI368" s="23"/>
      <c r="AJ368" s="23"/>
      <c r="AK368" s="23"/>
      <c r="AL368" s="23"/>
      <c r="AM368" s="23"/>
      <c r="AN368" s="23"/>
    </row>
    <row r="369" spans="5:40" x14ac:dyDescent="0.2">
      <c r="E369" s="11"/>
      <c r="M369" s="23"/>
      <c r="N369" s="949"/>
      <c r="O369" s="23"/>
      <c r="R369" s="23"/>
      <c r="S369" s="942"/>
      <c r="T369" s="23"/>
      <c r="U369" s="23"/>
      <c r="V369" s="23"/>
      <c r="W369" s="23"/>
      <c r="X369" s="23"/>
      <c r="Y369" s="23"/>
      <c r="Z369" s="23"/>
      <c r="AA369" s="23"/>
      <c r="AB369" s="23"/>
      <c r="AC369" s="23"/>
      <c r="AD369" s="23"/>
      <c r="AE369" s="23"/>
      <c r="AF369" s="23"/>
      <c r="AG369" s="23"/>
      <c r="AH369" s="23"/>
      <c r="AI369" s="23"/>
      <c r="AJ369" s="23"/>
      <c r="AK369" s="23"/>
      <c r="AL369" s="23"/>
      <c r="AM369" s="23"/>
      <c r="AN369" s="23"/>
    </row>
    <row r="370" spans="5:40" x14ac:dyDescent="0.2">
      <c r="E370" s="11"/>
      <c r="M370" s="23"/>
      <c r="N370" s="949"/>
      <c r="O370" s="23"/>
      <c r="R370" s="23"/>
      <c r="S370" s="949"/>
      <c r="T370" s="23"/>
      <c r="U370" s="23"/>
      <c r="V370" s="23"/>
      <c r="W370" s="23"/>
      <c r="X370" s="23"/>
      <c r="Y370" s="23"/>
      <c r="Z370" s="23"/>
      <c r="AA370" s="23"/>
      <c r="AB370" s="23"/>
      <c r="AC370" s="23"/>
      <c r="AD370" s="23"/>
      <c r="AE370" s="23"/>
      <c r="AF370" s="23"/>
      <c r="AG370" s="23"/>
      <c r="AH370" s="23"/>
      <c r="AI370" s="23"/>
      <c r="AJ370" s="23"/>
      <c r="AK370" s="23"/>
      <c r="AL370" s="23"/>
      <c r="AM370" s="23"/>
      <c r="AN370" s="23"/>
    </row>
    <row r="371" spans="5:40" x14ac:dyDescent="0.2">
      <c r="M371" s="23"/>
      <c r="N371" s="949"/>
      <c r="O371" s="23"/>
      <c r="R371" s="23"/>
      <c r="S371" s="949"/>
      <c r="T371" s="23"/>
      <c r="U371" s="23"/>
      <c r="V371" s="23"/>
      <c r="W371" s="23"/>
      <c r="X371" s="23"/>
      <c r="Y371" s="23"/>
      <c r="Z371" s="23"/>
      <c r="AA371" s="23"/>
      <c r="AB371" s="23"/>
      <c r="AC371" s="23"/>
      <c r="AD371" s="23"/>
      <c r="AE371" s="23"/>
      <c r="AF371" s="23"/>
      <c r="AG371" s="23"/>
      <c r="AH371" s="23"/>
      <c r="AI371" s="23"/>
      <c r="AJ371" s="23"/>
      <c r="AK371" s="23"/>
      <c r="AL371" s="23"/>
      <c r="AM371" s="23"/>
      <c r="AN371" s="23"/>
    </row>
    <row r="372" spans="5:40" x14ac:dyDescent="0.2">
      <c r="M372" s="23"/>
      <c r="N372" s="949"/>
      <c r="O372" s="23"/>
      <c r="R372" s="23"/>
      <c r="S372" s="949"/>
      <c r="T372" s="23"/>
      <c r="U372" s="23"/>
      <c r="V372" s="23"/>
      <c r="W372" s="23"/>
      <c r="X372" s="23"/>
      <c r="Y372" s="23"/>
      <c r="Z372" s="23"/>
      <c r="AA372" s="23"/>
      <c r="AB372" s="23"/>
      <c r="AC372" s="23"/>
      <c r="AD372" s="23"/>
      <c r="AE372" s="23"/>
      <c r="AF372" s="23"/>
      <c r="AG372" s="23"/>
      <c r="AH372" s="23"/>
      <c r="AI372" s="23"/>
      <c r="AJ372" s="23"/>
      <c r="AK372" s="23"/>
      <c r="AL372" s="23"/>
      <c r="AM372" s="23"/>
      <c r="AN372" s="23"/>
    </row>
    <row r="373" spans="5:40" x14ac:dyDescent="0.2">
      <c r="M373" s="23"/>
      <c r="N373" s="949"/>
      <c r="O373" s="23"/>
      <c r="R373" s="23"/>
      <c r="S373" s="949"/>
      <c r="T373" s="23"/>
      <c r="U373" s="23"/>
      <c r="V373" s="23"/>
      <c r="W373" s="23"/>
      <c r="X373" s="23"/>
      <c r="Y373" s="23"/>
      <c r="Z373" s="23"/>
      <c r="AA373" s="23"/>
      <c r="AB373" s="23"/>
      <c r="AC373" s="23"/>
      <c r="AD373" s="23"/>
      <c r="AE373" s="23"/>
      <c r="AF373" s="23"/>
      <c r="AG373" s="23"/>
      <c r="AH373" s="23"/>
      <c r="AI373" s="23"/>
      <c r="AJ373" s="23"/>
      <c r="AK373" s="23"/>
      <c r="AL373" s="23"/>
      <c r="AM373" s="23"/>
      <c r="AN373" s="23"/>
    </row>
    <row r="374" spans="5:40" x14ac:dyDescent="0.2">
      <c r="M374" s="23"/>
      <c r="N374" s="949"/>
      <c r="O374" s="23"/>
      <c r="R374" s="23"/>
      <c r="S374" s="949"/>
      <c r="T374" s="23"/>
      <c r="U374" s="23"/>
      <c r="V374" s="23"/>
      <c r="W374" s="23"/>
      <c r="X374" s="23"/>
      <c r="Y374" s="23"/>
      <c r="Z374" s="23"/>
      <c r="AA374" s="23"/>
      <c r="AB374" s="23"/>
      <c r="AC374" s="23"/>
      <c r="AD374" s="23"/>
      <c r="AE374" s="23"/>
      <c r="AF374" s="23"/>
      <c r="AG374" s="23"/>
      <c r="AH374" s="23"/>
      <c r="AI374" s="23"/>
      <c r="AJ374" s="23"/>
      <c r="AK374" s="23"/>
      <c r="AL374" s="23"/>
      <c r="AM374" s="23"/>
      <c r="AN374" s="23"/>
    </row>
    <row r="375" spans="5:40" x14ac:dyDescent="0.2">
      <c r="M375" s="23"/>
      <c r="N375" s="949"/>
      <c r="O375" s="23"/>
      <c r="R375" s="23"/>
      <c r="S375" s="949"/>
      <c r="T375" s="23"/>
      <c r="U375" s="23"/>
      <c r="V375" s="23"/>
      <c r="W375" s="23"/>
      <c r="X375" s="23"/>
      <c r="Y375" s="23"/>
      <c r="Z375" s="23"/>
      <c r="AA375" s="23"/>
      <c r="AB375" s="23"/>
      <c r="AC375" s="23"/>
      <c r="AD375" s="23"/>
      <c r="AE375" s="23"/>
      <c r="AF375" s="23"/>
      <c r="AG375" s="23"/>
      <c r="AH375" s="23"/>
      <c r="AI375" s="23"/>
      <c r="AJ375" s="23"/>
      <c r="AK375" s="23"/>
      <c r="AL375" s="23"/>
      <c r="AM375" s="23"/>
      <c r="AN375" s="23"/>
    </row>
    <row r="376" spans="5:40" x14ac:dyDescent="0.2">
      <c r="M376" s="23"/>
      <c r="N376" s="949"/>
      <c r="O376" s="23"/>
      <c r="R376" s="23"/>
      <c r="S376" s="949"/>
      <c r="T376" s="23"/>
      <c r="U376" s="23"/>
      <c r="V376" s="23"/>
      <c r="W376" s="23"/>
      <c r="X376" s="23"/>
      <c r="Y376" s="23"/>
      <c r="Z376" s="23"/>
      <c r="AA376" s="23"/>
      <c r="AB376" s="23"/>
      <c r="AC376" s="23"/>
      <c r="AD376" s="23"/>
      <c r="AE376" s="23"/>
      <c r="AF376" s="23"/>
      <c r="AG376" s="23"/>
      <c r="AH376" s="23"/>
      <c r="AI376" s="23"/>
      <c r="AJ376" s="23"/>
      <c r="AK376" s="23"/>
      <c r="AL376" s="23"/>
      <c r="AM376" s="23"/>
      <c r="AN376" s="23"/>
    </row>
    <row r="377" spans="5:40" x14ac:dyDescent="0.2">
      <c r="M377" s="23"/>
      <c r="N377" s="949"/>
      <c r="O377" s="23"/>
      <c r="R377" s="23"/>
      <c r="S377" s="949"/>
      <c r="T377" s="23"/>
      <c r="U377" s="23"/>
      <c r="V377" s="23"/>
      <c r="W377" s="23"/>
      <c r="X377" s="23"/>
      <c r="Y377" s="23"/>
      <c r="Z377" s="23"/>
      <c r="AA377" s="23"/>
      <c r="AB377" s="23"/>
      <c r="AC377" s="23"/>
      <c r="AD377" s="23"/>
      <c r="AE377" s="23"/>
      <c r="AF377" s="23"/>
      <c r="AG377" s="23"/>
      <c r="AH377" s="23"/>
      <c r="AI377" s="23"/>
      <c r="AJ377" s="23"/>
      <c r="AK377" s="23"/>
      <c r="AL377" s="23"/>
      <c r="AM377" s="23"/>
      <c r="AN377" s="23"/>
    </row>
    <row r="378" spans="5:40" x14ac:dyDescent="0.2">
      <c r="M378" s="23"/>
      <c r="N378" s="949"/>
      <c r="O378" s="23"/>
      <c r="R378" s="23"/>
      <c r="S378" s="949"/>
      <c r="T378" s="23"/>
      <c r="U378" s="23"/>
      <c r="V378" s="23"/>
      <c r="W378" s="23"/>
      <c r="X378" s="23"/>
      <c r="Y378" s="23"/>
      <c r="Z378" s="23"/>
      <c r="AA378" s="23"/>
      <c r="AB378" s="23"/>
      <c r="AC378" s="23"/>
      <c r="AD378" s="23"/>
      <c r="AE378" s="23"/>
      <c r="AF378" s="23"/>
      <c r="AG378" s="23"/>
      <c r="AH378" s="23"/>
      <c r="AI378" s="23"/>
      <c r="AJ378" s="23"/>
      <c r="AK378" s="23"/>
      <c r="AL378" s="23"/>
      <c r="AM378" s="23"/>
      <c r="AN378" s="23"/>
    </row>
    <row r="379" spans="5:40" x14ac:dyDescent="0.2">
      <c r="M379" s="23"/>
      <c r="N379" s="949"/>
      <c r="O379" s="23"/>
      <c r="R379" s="23"/>
      <c r="S379" s="949"/>
      <c r="T379" s="23"/>
      <c r="U379" s="23"/>
      <c r="V379" s="23"/>
      <c r="W379" s="23"/>
      <c r="X379" s="23"/>
      <c r="Y379" s="23"/>
      <c r="Z379" s="23"/>
      <c r="AA379" s="23"/>
      <c r="AB379" s="23"/>
      <c r="AC379" s="23"/>
      <c r="AD379" s="23"/>
      <c r="AE379" s="23"/>
      <c r="AF379" s="23"/>
      <c r="AG379" s="23"/>
      <c r="AH379" s="23"/>
      <c r="AI379" s="23"/>
      <c r="AJ379" s="23"/>
      <c r="AK379" s="23"/>
      <c r="AL379" s="23"/>
      <c r="AM379" s="23"/>
      <c r="AN379" s="23"/>
    </row>
    <row r="380" spans="5:40" x14ac:dyDescent="0.2">
      <c r="M380" s="23"/>
      <c r="N380" s="949"/>
      <c r="O380" s="23"/>
      <c r="R380" s="23"/>
      <c r="S380" s="949"/>
      <c r="T380" s="23"/>
      <c r="U380" s="23"/>
      <c r="V380" s="23"/>
      <c r="W380" s="23"/>
      <c r="X380" s="23"/>
      <c r="Y380" s="23"/>
      <c r="Z380" s="23"/>
      <c r="AA380" s="23"/>
      <c r="AB380" s="23"/>
      <c r="AC380" s="23"/>
      <c r="AD380" s="23"/>
      <c r="AE380" s="23"/>
      <c r="AF380" s="23"/>
      <c r="AG380" s="23"/>
      <c r="AH380" s="23"/>
      <c r="AI380" s="23"/>
      <c r="AJ380" s="23"/>
      <c r="AK380" s="23"/>
      <c r="AL380" s="23"/>
      <c r="AM380" s="23"/>
      <c r="AN380" s="23"/>
    </row>
    <row r="381" spans="5:40" x14ac:dyDescent="0.2">
      <c r="M381" s="23"/>
      <c r="N381" s="949"/>
      <c r="O381" s="23"/>
      <c r="R381" s="23"/>
      <c r="S381" s="949"/>
      <c r="T381" s="23"/>
      <c r="U381" s="23"/>
      <c r="V381" s="23"/>
      <c r="W381" s="23"/>
      <c r="X381" s="23"/>
      <c r="Y381" s="23"/>
      <c r="Z381" s="23"/>
      <c r="AA381" s="23"/>
      <c r="AB381" s="23"/>
      <c r="AC381" s="23"/>
      <c r="AD381" s="23"/>
      <c r="AE381" s="23"/>
      <c r="AF381" s="23"/>
      <c r="AG381" s="23"/>
      <c r="AH381" s="23"/>
      <c r="AI381" s="23"/>
      <c r="AJ381" s="23"/>
      <c r="AK381" s="23"/>
      <c r="AL381" s="23"/>
      <c r="AM381" s="23"/>
      <c r="AN381" s="23"/>
    </row>
    <row r="382" spans="5:40" x14ac:dyDescent="0.2">
      <c r="M382" s="23"/>
      <c r="N382" s="949"/>
      <c r="O382" s="23"/>
      <c r="R382" s="23"/>
      <c r="S382" s="949"/>
      <c r="T382" s="23"/>
      <c r="U382" s="23"/>
      <c r="V382" s="23"/>
      <c r="W382" s="23"/>
      <c r="X382" s="23"/>
      <c r="Y382" s="23"/>
      <c r="Z382" s="23"/>
      <c r="AA382" s="23"/>
      <c r="AB382" s="23"/>
      <c r="AC382" s="23"/>
      <c r="AD382" s="23"/>
      <c r="AE382" s="23"/>
      <c r="AF382" s="23"/>
      <c r="AG382" s="23"/>
      <c r="AH382" s="23"/>
      <c r="AI382" s="23"/>
      <c r="AJ382" s="23"/>
      <c r="AK382" s="23"/>
      <c r="AL382" s="23"/>
      <c r="AM382" s="23"/>
      <c r="AN382" s="23"/>
    </row>
    <row r="383" spans="5:40" x14ac:dyDescent="0.2">
      <c r="M383" s="23"/>
      <c r="N383" s="949"/>
      <c r="O383" s="23"/>
      <c r="R383" s="23"/>
      <c r="S383" s="949"/>
      <c r="T383" s="23"/>
      <c r="U383" s="23"/>
      <c r="V383" s="23"/>
      <c r="W383" s="23"/>
      <c r="X383" s="23"/>
      <c r="Y383" s="23"/>
      <c r="Z383" s="23"/>
      <c r="AA383" s="23"/>
      <c r="AB383" s="23"/>
      <c r="AC383" s="23"/>
      <c r="AD383" s="23"/>
      <c r="AE383" s="23"/>
      <c r="AF383" s="23"/>
      <c r="AG383" s="23"/>
      <c r="AH383" s="23"/>
      <c r="AI383" s="23"/>
      <c r="AJ383" s="23"/>
      <c r="AK383" s="23"/>
      <c r="AL383" s="23"/>
      <c r="AM383" s="23"/>
      <c r="AN383" s="23"/>
    </row>
    <row r="384" spans="5:40" x14ac:dyDescent="0.2">
      <c r="M384" s="23"/>
      <c r="N384" s="949"/>
      <c r="O384" s="23"/>
      <c r="R384" s="23"/>
      <c r="S384" s="949"/>
      <c r="T384" s="23"/>
      <c r="U384" s="23"/>
      <c r="V384" s="23"/>
      <c r="W384" s="23"/>
      <c r="X384" s="23"/>
      <c r="Y384" s="23"/>
      <c r="Z384" s="23"/>
      <c r="AA384" s="23"/>
      <c r="AB384" s="23"/>
      <c r="AC384" s="23"/>
      <c r="AD384" s="23"/>
      <c r="AE384" s="23"/>
      <c r="AF384" s="23"/>
      <c r="AG384" s="23"/>
      <c r="AH384" s="23"/>
      <c r="AI384" s="23"/>
      <c r="AJ384" s="23"/>
      <c r="AK384" s="23"/>
      <c r="AL384" s="23"/>
      <c r="AM384" s="23"/>
      <c r="AN384" s="23"/>
    </row>
    <row r="385" spans="13:40" x14ac:dyDescent="0.2">
      <c r="M385" s="23"/>
      <c r="N385" s="949"/>
      <c r="O385" s="23"/>
      <c r="R385" s="23"/>
      <c r="S385" s="949"/>
      <c r="T385" s="23"/>
      <c r="U385" s="23"/>
      <c r="V385" s="23"/>
      <c r="W385" s="23"/>
      <c r="X385" s="23"/>
      <c r="Y385" s="23"/>
      <c r="Z385" s="23"/>
      <c r="AA385" s="23"/>
      <c r="AB385" s="23"/>
      <c r="AC385" s="23"/>
      <c r="AD385" s="23"/>
      <c r="AE385" s="23"/>
      <c r="AF385" s="23"/>
      <c r="AG385" s="23"/>
      <c r="AH385" s="23"/>
      <c r="AI385" s="23"/>
      <c r="AJ385" s="23"/>
      <c r="AK385" s="23"/>
      <c r="AL385" s="23"/>
      <c r="AM385" s="23"/>
      <c r="AN385" s="23"/>
    </row>
    <row r="386" spans="13:40" x14ac:dyDescent="0.2">
      <c r="M386" s="23"/>
      <c r="N386" s="949"/>
      <c r="O386" s="23"/>
      <c r="R386" s="23"/>
      <c r="S386" s="949"/>
      <c r="T386" s="23"/>
      <c r="U386" s="23"/>
      <c r="V386" s="23"/>
      <c r="W386" s="23"/>
      <c r="X386" s="23"/>
      <c r="Y386" s="23"/>
      <c r="Z386" s="23"/>
      <c r="AA386" s="23"/>
      <c r="AB386" s="23"/>
      <c r="AC386" s="23"/>
      <c r="AD386" s="23"/>
      <c r="AE386" s="23"/>
      <c r="AF386" s="23"/>
      <c r="AG386" s="23"/>
      <c r="AH386" s="23"/>
      <c r="AI386" s="23"/>
      <c r="AJ386" s="23"/>
      <c r="AK386" s="23"/>
      <c r="AL386" s="23"/>
      <c r="AM386" s="23"/>
      <c r="AN386" s="23"/>
    </row>
    <row r="387" spans="13:40" x14ac:dyDescent="0.2">
      <c r="M387" s="23"/>
      <c r="N387" s="949"/>
      <c r="O387" s="23"/>
      <c r="R387" s="23"/>
      <c r="S387" s="949"/>
      <c r="T387" s="23"/>
      <c r="U387" s="23"/>
      <c r="V387" s="23"/>
      <c r="W387" s="23"/>
      <c r="X387" s="23"/>
      <c r="Y387" s="23"/>
      <c r="Z387" s="23"/>
      <c r="AA387" s="23"/>
      <c r="AB387" s="23"/>
      <c r="AC387" s="23"/>
      <c r="AD387" s="23"/>
      <c r="AE387" s="23"/>
      <c r="AF387" s="23"/>
      <c r="AG387" s="23"/>
      <c r="AH387" s="23"/>
      <c r="AI387" s="23"/>
      <c r="AJ387" s="23"/>
      <c r="AK387" s="23"/>
      <c r="AL387" s="23"/>
      <c r="AM387" s="23"/>
      <c r="AN387" s="23"/>
    </row>
    <row r="388" spans="13:40" x14ac:dyDescent="0.2">
      <c r="M388" s="23"/>
      <c r="N388" s="949"/>
      <c r="O388" s="23"/>
      <c r="R388" s="23"/>
      <c r="S388" s="949"/>
      <c r="T388" s="23"/>
      <c r="U388" s="23"/>
      <c r="V388" s="23"/>
      <c r="W388" s="23"/>
      <c r="X388" s="23"/>
      <c r="Y388" s="23"/>
      <c r="Z388" s="23"/>
      <c r="AA388" s="23"/>
      <c r="AB388" s="23"/>
      <c r="AC388" s="23"/>
      <c r="AD388" s="23"/>
      <c r="AE388" s="23"/>
      <c r="AF388" s="23"/>
      <c r="AG388" s="23"/>
      <c r="AH388" s="23"/>
      <c r="AI388" s="23"/>
      <c r="AJ388" s="23"/>
      <c r="AK388" s="23"/>
      <c r="AL388" s="23"/>
      <c r="AM388" s="23"/>
      <c r="AN388" s="23"/>
    </row>
    <row r="389" spans="13:40" x14ac:dyDescent="0.2">
      <c r="M389" s="23"/>
      <c r="N389" s="949"/>
      <c r="O389" s="23"/>
      <c r="R389" s="23"/>
      <c r="S389" s="949"/>
      <c r="T389" s="23"/>
      <c r="U389" s="23"/>
      <c r="V389" s="23"/>
      <c r="W389" s="23"/>
      <c r="X389" s="23"/>
      <c r="Y389" s="23"/>
      <c r="Z389" s="23"/>
      <c r="AA389" s="23"/>
      <c r="AB389" s="23"/>
      <c r="AC389" s="23"/>
      <c r="AD389" s="23"/>
      <c r="AE389" s="23"/>
      <c r="AF389" s="23"/>
      <c r="AG389" s="23"/>
      <c r="AH389" s="23"/>
      <c r="AI389" s="23"/>
      <c r="AJ389" s="23"/>
      <c r="AK389" s="23"/>
      <c r="AL389" s="23"/>
      <c r="AM389" s="23"/>
      <c r="AN389" s="23"/>
    </row>
    <row r="390" spans="13:40" x14ac:dyDescent="0.2">
      <c r="M390" s="23"/>
      <c r="N390" s="949"/>
      <c r="O390" s="23"/>
      <c r="R390" s="23"/>
      <c r="S390" s="949"/>
      <c r="T390" s="23"/>
      <c r="U390" s="23"/>
      <c r="V390" s="23"/>
      <c r="W390" s="23"/>
      <c r="X390" s="23"/>
      <c r="Y390" s="23"/>
      <c r="Z390" s="23"/>
      <c r="AA390" s="23"/>
      <c r="AB390" s="23"/>
      <c r="AC390" s="23"/>
      <c r="AD390" s="23"/>
      <c r="AE390" s="23"/>
      <c r="AF390" s="23"/>
      <c r="AG390" s="23"/>
      <c r="AH390" s="23"/>
      <c r="AI390" s="23"/>
      <c r="AJ390" s="23"/>
      <c r="AK390" s="23"/>
      <c r="AL390" s="23"/>
      <c r="AM390" s="23"/>
      <c r="AN390" s="23"/>
    </row>
    <row r="391" spans="13:40" x14ac:dyDescent="0.2">
      <c r="M391" s="23"/>
      <c r="N391" s="949"/>
      <c r="O391" s="23"/>
      <c r="R391" s="23"/>
      <c r="S391" s="949"/>
      <c r="T391" s="23"/>
      <c r="U391" s="23"/>
      <c r="V391" s="23"/>
      <c r="W391" s="23"/>
      <c r="X391" s="23"/>
      <c r="Y391" s="23"/>
      <c r="Z391" s="23"/>
      <c r="AA391" s="23"/>
      <c r="AB391" s="23"/>
      <c r="AC391" s="23"/>
      <c r="AD391" s="23"/>
      <c r="AE391" s="23"/>
      <c r="AF391" s="23"/>
      <c r="AG391" s="23"/>
      <c r="AH391" s="23"/>
      <c r="AI391" s="23"/>
      <c r="AJ391" s="23"/>
      <c r="AK391" s="23"/>
      <c r="AL391" s="23"/>
      <c r="AM391" s="23"/>
      <c r="AN391" s="23"/>
    </row>
    <row r="392" spans="13:40" x14ac:dyDescent="0.2">
      <c r="M392" s="23"/>
      <c r="N392" s="949"/>
      <c r="O392" s="23"/>
      <c r="R392" s="23"/>
      <c r="S392" s="949"/>
      <c r="T392" s="23"/>
      <c r="U392" s="23"/>
      <c r="V392" s="23"/>
      <c r="W392" s="23"/>
      <c r="X392" s="23"/>
      <c r="Y392" s="23"/>
      <c r="Z392" s="23"/>
      <c r="AA392" s="23"/>
      <c r="AB392" s="23"/>
      <c r="AC392" s="23"/>
      <c r="AD392" s="23"/>
      <c r="AE392" s="23"/>
      <c r="AF392" s="23"/>
      <c r="AG392" s="23"/>
      <c r="AH392" s="23"/>
      <c r="AI392" s="23"/>
      <c r="AJ392" s="23"/>
      <c r="AK392" s="23"/>
      <c r="AL392" s="23"/>
      <c r="AM392" s="23"/>
      <c r="AN392" s="23"/>
    </row>
    <row r="393" spans="13:40" x14ac:dyDescent="0.2">
      <c r="M393" s="23"/>
      <c r="N393" s="949"/>
      <c r="O393" s="23"/>
      <c r="R393" s="23"/>
      <c r="S393" s="949"/>
      <c r="T393" s="23"/>
      <c r="U393" s="23"/>
      <c r="V393" s="23"/>
      <c r="W393" s="23"/>
      <c r="X393" s="23"/>
      <c r="Y393" s="23"/>
      <c r="Z393" s="23"/>
      <c r="AA393" s="23"/>
      <c r="AB393" s="23"/>
      <c r="AC393" s="23"/>
      <c r="AD393" s="23"/>
      <c r="AE393" s="23"/>
      <c r="AF393" s="23"/>
      <c r="AG393" s="23"/>
      <c r="AH393" s="23"/>
      <c r="AI393" s="23"/>
      <c r="AJ393" s="23"/>
      <c r="AK393" s="23"/>
      <c r="AL393" s="23"/>
      <c r="AM393" s="23"/>
      <c r="AN393" s="23"/>
    </row>
    <row r="394" spans="13:40" x14ac:dyDescent="0.2">
      <c r="M394" s="23"/>
      <c r="N394" s="949"/>
      <c r="O394" s="23"/>
      <c r="R394" s="23"/>
      <c r="S394" s="949"/>
      <c r="T394" s="23"/>
      <c r="U394" s="23"/>
      <c r="V394" s="23"/>
      <c r="W394" s="23"/>
      <c r="X394" s="23"/>
      <c r="Y394" s="23"/>
      <c r="Z394" s="23"/>
      <c r="AA394" s="23"/>
      <c r="AB394" s="23"/>
      <c r="AC394" s="23"/>
      <c r="AD394" s="23"/>
      <c r="AE394" s="23"/>
      <c r="AF394" s="23"/>
      <c r="AG394" s="23"/>
      <c r="AH394" s="23"/>
      <c r="AI394" s="23"/>
      <c r="AJ394" s="23"/>
      <c r="AK394" s="23"/>
      <c r="AL394" s="23"/>
      <c r="AM394" s="23"/>
      <c r="AN394" s="23"/>
    </row>
    <row r="395" spans="13:40" x14ac:dyDescent="0.2">
      <c r="M395" s="23"/>
      <c r="N395" s="949"/>
      <c r="O395" s="23"/>
      <c r="R395" s="23"/>
      <c r="S395" s="949"/>
      <c r="T395" s="23"/>
      <c r="U395" s="23"/>
      <c r="V395" s="23"/>
      <c r="W395" s="23"/>
      <c r="X395" s="23"/>
      <c r="Y395" s="23"/>
      <c r="Z395" s="23"/>
      <c r="AA395" s="23"/>
      <c r="AB395" s="23"/>
      <c r="AC395" s="23"/>
      <c r="AD395" s="23"/>
      <c r="AE395" s="23"/>
      <c r="AF395" s="23"/>
      <c r="AG395" s="23"/>
      <c r="AH395" s="23"/>
      <c r="AI395" s="23"/>
      <c r="AJ395" s="23"/>
      <c r="AK395" s="23"/>
      <c r="AL395" s="23"/>
      <c r="AM395" s="23"/>
      <c r="AN395" s="23"/>
    </row>
    <row r="396" spans="13:40" x14ac:dyDescent="0.2">
      <c r="M396" s="23"/>
      <c r="N396" s="949"/>
      <c r="O396" s="23"/>
      <c r="R396" s="23"/>
      <c r="S396" s="949"/>
      <c r="T396" s="23"/>
      <c r="U396" s="23"/>
      <c r="V396" s="23"/>
      <c r="W396" s="23"/>
      <c r="X396" s="23"/>
      <c r="Y396" s="23"/>
      <c r="Z396" s="23"/>
      <c r="AA396" s="23"/>
      <c r="AB396" s="23"/>
      <c r="AC396" s="23"/>
      <c r="AD396" s="23"/>
      <c r="AE396" s="23"/>
      <c r="AF396" s="23"/>
      <c r="AG396" s="23"/>
      <c r="AH396" s="23"/>
      <c r="AI396" s="23"/>
      <c r="AJ396" s="23"/>
      <c r="AK396" s="23"/>
      <c r="AL396" s="23"/>
      <c r="AM396" s="23"/>
      <c r="AN396" s="23"/>
    </row>
    <row r="397" spans="13:40" x14ac:dyDescent="0.2">
      <c r="M397" s="23"/>
      <c r="N397" s="949"/>
      <c r="O397" s="23"/>
      <c r="R397" s="23"/>
      <c r="S397" s="949"/>
      <c r="T397" s="23"/>
      <c r="U397" s="23"/>
      <c r="V397" s="23"/>
      <c r="W397" s="23"/>
      <c r="X397" s="23"/>
      <c r="Y397" s="23"/>
      <c r="Z397" s="23"/>
      <c r="AA397" s="23"/>
      <c r="AB397" s="23"/>
      <c r="AC397" s="23"/>
      <c r="AD397" s="23"/>
      <c r="AE397" s="23"/>
      <c r="AF397" s="23"/>
      <c r="AG397" s="23"/>
      <c r="AH397" s="23"/>
      <c r="AI397" s="23"/>
      <c r="AJ397" s="23"/>
      <c r="AK397" s="23"/>
      <c r="AL397" s="23"/>
      <c r="AM397" s="23"/>
      <c r="AN397" s="23"/>
    </row>
    <row r="398" spans="13:40" x14ac:dyDescent="0.2">
      <c r="M398" s="23"/>
      <c r="N398" s="949"/>
      <c r="O398" s="23"/>
      <c r="R398" s="23"/>
      <c r="S398" s="949"/>
      <c r="T398" s="23"/>
      <c r="U398" s="23"/>
      <c r="V398" s="23"/>
      <c r="W398" s="23"/>
      <c r="X398" s="23"/>
      <c r="Y398" s="23"/>
      <c r="Z398" s="23"/>
      <c r="AA398" s="23"/>
      <c r="AB398" s="23"/>
      <c r="AC398" s="23"/>
      <c r="AD398" s="23"/>
      <c r="AE398" s="23"/>
      <c r="AF398" s="23"/>
      <c r="AG398" s="23"/>
      <c r="AH398" s="23"/>
      <c r="AI398" s="23"/>
      <c r="AJ398" s="23"/>
      <c r="AK398" s="23"/>
      <c r="AL398" s="23"/>
      <c r="AM398" s="23"/>
      <c r="AN398" s="23"/>
    </row>
    <row r="399" spans="13:40" x14ac:dyDescent="0.2">
      <c r="M399" s="23"/>
      <c r="N399" s="949"/>
      <c r="O399" s="23"/>
      <c r="R399" s="23"/>
      <c r="S399" s="949"/>
      <c r="T399" s="23"/>
      <c r="U399" s="23"/>
      <c r="V399" s="23"/>
      <c r="W399" s="23"/>
      <c r="X399" s="23"/>
      <c r="Y399" s="23"/>
      <c r="Z399" s="23"/>
      <c r="AA399" s="23"/>
      <c r="AB399" s="23"/>
      <c r="AC399" s="23"/>
      <c r="AD399" s="23"/>
      <c r="AE399" s="23"/>
      <c r="AF399" s="23"/>
      <c r="AG399" s="23"/>
      <c r="AH399" s="23"/>
      <c r="AI399" s="23"/>
      <c r="AJ399" s="23"/>
      <c r="AK399" s="23"/>
      <c r="AL399" s="23"/>
      <c r="AM399" s="23"/>
      <c r="AN399" s="23"/>
    </row>
    <row r="400" spans="13:40" x14ac:dyDescent="0.2">
      <c r="M400" s="23"/>
      <c r="N400" s="949"/>
      <c r="O400" s="23"/>
      <c r="R400" s="23"/>
      <c r="S400" s="949"/>
      <c r="T400" s="23"/>
      <c r="U400" s="23"/>
      <c r="V400" s="23"/>
      <c r="W400" s="23"/>
      <c r="X400" s="23"/>
      <c r="Y400" s="23"/>
      <c r="Z400" s="23"/>
      <c r="AA400" s="23"/>
      <c r="AB400" s="23"/>
      <c r="AC400" s="23"/>
      <c r="AD400" s="23"/>
      <c r="AE400" s="23"/>
      <c r="AF400" s="23"/>
      <c r="AG400" s="23"/>
      <c r="AH400" s="23"/>
      <c r="AI400" s="23"/>
      <c r="AJ400" s="23"/>
      <c r="AK400" s="23"/>
      <c r="AL400" s="23"/>
      <c r="AM400" s="23"/>
      <c r="AN400" s="23"/>
    </row>
    <row r="401" spans="13:40" x14ac:dyDescent="0.2">
      <c r="M401" s="23"/>
      <c r="N401" s="949"/>
      <c r="O401" s="23"/>
      <c r="R401" s="23"/>
      <c r="S401" s="949"/>
      <c r="T401" s="23"/>
      <c r="U401" s="23"/>
      <c r="V401" s="23"/>
      <c r="W401" s="23"/>
      <c r="X401" s="23"/>
      <c r="Y401" s="23"/>
      <c r="Z401" s="23"/>
      <c r="AA401" s="23"/>
      <c r="AB401" s="23"/>
      <c r="AC401" s="23"/>
      <c r="AD401" s="23"/>
      <c r="AE401" s="23"/>
      <c r="AF401" s="23"/>
      <c r="AG401" s="23"/>
      <c r="AH401" s="23"/>
      <c r="AI401" s="23"/>
      <c r="AJ401" s="23"/>
      <c r="AK401" s="23"/>
      <c r="AL401" s="23"/>
      <c r="AM401" s="23"/>
      <c r="AN401" s="23"/>
    </row>
    <row r="402" spans="13:40" x14ac:dyDescent="0.2">
      <c r="M402" s="23"/>
      <c r="N402" s="949"/>
      <c r="O402" s="23"/>
      <c r="R402" s="23"/>
      <c r="S402" s="949"/>
      <c r="T402" s="23"/>
      <c r="U402" s="23"/>
      <c r="V402" s="23"/>
      <c r="W402" s="23"/>
      <c r="X402" s="23"/>
      <c r="Y402" s="23"/>
      <c r="Z402" s="23"/>
      <c r="AA402" s="23"/>
      <c r="AB402" s="23"/>
      <c r="AC402" s="23"/>
      <c r="AD402" s="23"/>
      <c r="AE402" s="23"/>
      <c r="AF402" s="23"/>
      <c r="AG402" s="23"/>
      <c r="AH402" s="23"/>
      <c r="AI402" s="23"/>
      <c r="AJ402" s="23"/>
      <c r="AK402" s="23"/>
      <c r="AL402" s="23"/>
      <c r="AM402" s="23"/>
      <c r="AN402" s="23"/>
    </row>
    <row r="403" spans="13:40" x14ac:dyDescent="0.2">
      <c r="M403" s="23"/>
      <c r="N403" s="949"/>
      <c r="O403" s="23"/>
      <c r="R403" s="23"/>
      <c r="S403" s="949"/>
      <c r="T403" s="23"/>
      <c r="U403" s="23"/>
      <c r="V403" s="23"/>
      <c r="W403" s="23"/>
      <c r="X403" s="23"/>
      <c r="Y403" s="23"/>
      <c r="Z403" s="23"/>
      <c r="AA403" s="23"/>
      <c r="AB403" s="23"/>
      <c r="AC403" s="23"/>
      <c r="AD403" s="23"/>
      <c r="AE403" s="23"/>
      <c r="AF403" s="23"/>
      <c r="AG403" s="23"/>
      <c r="AH403" s="23"/>
      <c r="AI403" s="23"/>
      <c r="AJ403" s="23"/>
      <c r="AK403" s="23"/>
      <c r="AL403" s="23"/>
      <c r="AM403" s="23"/>
      <c r="AN403" s="23"/>
    </row>
    <row r="404" spans="13:40" x14ac:dyDescent="0.2">
      <c r="M404" s="23"/>
      <c r="N404" s="949"/>
      <c r="O404" s="23"/>
      <c r="R404" s="23"/>
      <c r="S404" s="949"/>
      <c r="T404" s="23"/>
      <c r="U404" s="23"/>
      <c r="V404" s="23"/>
      <c r="W404" s="23"/>
      <c r="X404" s="23"/>
      <c r="Y404" s="23"/>
      <c r="Z404" s="23"/>
      <c r="AA404" s="23"/>
      <c r="AB404" s="23"/>
      <c r="AC404" s="23"/>
      <c r="AD404" s="23"/>
      <c r="AE404" s="23"/>
      <c r="AF404" s="23"/>
      <c r="AG404" s="23"/>
      <c r="AH404" s="23"/>
      <c r="AI404" s="23"/>
      <c r="AJ404" s="23"/>
      <c r="AK404" s="23"/>
      <c r="AL404" s="23"/>
      <c r="AM404" s="23"/>
      <c r="AN404" s="23"/>
    </row>
    <row r="405" spans="13:40" x14ac:dyDescent="0.2">
      <c r="M405" s="23"/>
      <c r="N405" s="949"/>
      <c r="O405" s="23"/>
      <c r="R405" s="23"/>
      <c r="S405" s="949"/>
      <c r="T405" s="23"/>
      <c r="U405" s="23"/>
      <c r="V405" s="23"/>
      <c r="W405" s="23"/>
      <c r="X405" s="23"/>
      <c r="Y405" s="23"/>
      <c r="Z405" s="23"/>
      <c r="AA405" s="23"/>
      <c r="AB405" s="23"/>
      <c r="AC405" s="23"/>
      <c r="AD405" s="23"/>
      <c r="AE405" s="23"/>
      <c r="AF405" s="23"/>
      <c r="AG405" s="23"/>
      <c r="AH405" s="23"/>
      <c r="AI405" s="23"/>
      <c r="AJ405" s="23"/>
      <c r="AK405" s="23"/>
      <c r="AL405" s="23"/>
      <c r="AM405" s="23"/>
      <c r="AN405" s="23"/>
    </row>
    <row r="406" spans="13:40" x14ac:dyDescent="0.2">
      <c r="M406" s="23"/>
      <c r="N406" s="949"/>
      <c r="O406" s="23"/>
      <c r="R406" s="23"/>
      <c r="S406" s="949"/>
      <c r="T406" s="23"/>
      <c r="U406" s="23"/>
      <c r="V406" s="23"/>
      <c r="W406" s="23"/>
      <c r="X406" s="23"/>
      <c r="Y406" s="23"/>
      <c r="Z406" s="23"/>
      <c r="AA406" s="23"/>
      <c r="AB406" s="23"/>
      <c r="AC406" s="23"/>
      <c r="AD406" s="23"/>
      <c r="AE406" s="23"/>
      <c r="AF406" s="23"/>
      <c r="AG406" s="23"/>
      <c r="AH406" s="23"/>
      <c r="AI406" s="23"/>
      <c r="AJ406" s="23"/>
      <c r="AK406" s="23"/>
      <c r="AL406" s="23"/>
      <c r="AM406" s="23"/>
      <c r="AN406" s="23"/>
    </row>
    <row r="407" spans="13:40" x14ac:dyDescent="0.2">
      <c r="M407" s="23"/>
      <c r="N407" s="949"/>
      <c r="O407" s="23"/>
      <c r="R407" s="23"/>
      <c r="S407" s="949"/>
      <c r="T407" s="23"/>
      <c r="U407" s="23"/>
      <c r="V407" s="23"/>
      <c r="W407" s="23"/>
      <c r="X407" s="23"/>
      <c r="Y407" s="23"/>
      <c r="Z407" s="23"/>
      <c r="AA407" s="23"/>
      <c r="AB407" s="23"/>
      <c r="AC407" s="23"/>
      <c r="AD407" s="23"/>
      <c r="AE407" s="23"/>
      <c r="AF407" s="23"/>
      <c r="AG407" s="23"/>
      <c r="AH407" s="23"/>
      <c r="AI407" s="23"/>
      <c r="AJ407" s="23"/>
      <c r="AK407" s="23"/>
      <c r="AL407" s="23"/>
      <c r="AM407" s="23"/>
      <c r="AN407" s="23"/>
    </row>
    <row r="408" spans="13:40" x14ac:dyDescent="0.2">
      <c r="M408" s="23"/>
      <c r="N408" s="949"/>
      <c r="O408" s="23"/>
      <c r="R408" s="23"/>
      <c r="S408" s="949"/>
      <c r="T408" s="23"/>
      <c r="U408" s="23"/>
      <c r="V408" s="23"/>
      <c r="W408" s="23"/>
      <c r="X408" s="23"/>
      <c r="Y408" s="23"/>
      <c r="Z408" s="23"/>
      <c r="AA408" s="23"/>
      <c r="AB408" s="23"/>
      <c r="AC408" s="23"/>
      <c r="AD408" s="23"/>
      <c r="AE408" s="23"/>
      <c r="AF408" s="23"/>
      <c r="AG408" s="23"/>
      <c r="AH408" s="23"/>
      <c r="AI408" s="23"/>
      <c r="AJ408" s="23"/>
      <c r="AK408" s="23"/>
      <c r="AL408" s="23"/>
      <c r="AM408" s="23"/>
      <c r="AN408" s="23"/>
    </row>
    <row r="409" spans="13:40" x14ac:dyDescent="0.2">
      <c r="M409" s="23"/>
      <c r="N409" s="949"/>
      <c r="O409" s="23"/>
      <c r="R409" s="23"/>
      <c r="S409" s="949"/>
      <c r="T409" s="23"/>
      <c r="U409" s="23"/>
      <c r="V409" s="23"/>
      <c r="W409" s="23"/>
      <c r="X409" s="23"/>
      <c r="Y409" s="23"/>
      <c r="Z409" s="23"/>
      <c r="AA409" s="23"/>
      <c r="AB409" s="23"/>
      <c r="AC409" s="23"/>
      <c r="AD409" s="23"/>
      <c r="AE409" s="23"/>
      <c r="AF409" s="23"/>
      <c r="AG409" s="23"/>
      <c r="AH409" s="23"/>
      <c r="AI409" s="23"/>
      <c r="AJ409" s="23"/>
      <c r="AK409" s="23"/>
      <c r="AL409" s="23"/>
      <c r="AM409" s="23"/>
      <c r="AN409" s="23"/>
    </row>
    <row r="410" spans="13:40" x14ac:dyDescent="0.2">
      <c r="M410" s="23"/>
      <c r="N410" s="949"/>
      <c r="O410" s="23"/>
      <c r="R410" s="23"/>
      <c r="S410" s="949"/>
      <c r="T410" s="23"/>
      <c r="U410" s="23"/>
      <c r="V410" s="23"/>
      <c r="W410" s="23"/>
      <c r="X410" s="23"/>
      <c r="Y410" s="23"/>
      <c r="Z410" s="23"/>
      <c r="AA410" s="23"/>
      <c r="AB410" s="23"/>
      <c r="AC410" s="23"/>
      <c r="AD410" s="23"/>
      <c r="AE410" s="23"/>
      <c r="AF410" s="23"/>
      <c r="AG410" s="23"/>
      <c r="AH410" s="23"/>
      <c r="AI410" s="23"/>
      <c r="AJ410" s="23"/>
      <c r="AK410" s="23"/>
      <c r="AL410" s="23"/>
      <c r="AM410" s="23"/>
      <c r="AN410" s="23"/>
    </row>
    <row r="411" spans="13:40" x14ac:dyDescent="0.2">
      <c r="M411" s="23"/>
      <c r="N411" s="949"/>
      <c r="O411" s="23"/>
      <c r="R411" s="23"/>
      <c r="S411" s="949"/>
      <c r="T411" s="23"/>
      <c r="U411" s="23"/>
      <c r="V411" s="23"/>
      <c r="W411" s="23"/>
      <c r="X411" s="23"/>
      <c r="Y411" s="23"/>
      <c r="Z411" s="23"/>
      <c r="AA411" s="23"/>
      <c r="AB411" s="23"/>
      <c r="AC411" s="23"/>
      <c r="AD411" s="23"/>
      <c r="AE411" s="23"/>
      <c r="AF411" s="23"/>
      <c r="AG411" s="23"/>
      <c r="AH411" s="23"/>
      <c r="AI411" s="23"/>
      <c r="AJ411" s="23"/>
      <c r="AK411" s="23"/>
      <c r="AL411" s="23"/>
      <c r="AM411" s="23"/>
      <c r="AN411" s="23"/>
    </row>
    <row r="412" spans="13:40" x14ac:dyDescent="0.2">
      <c r="M412" s="23"/>
      <c r="N412" s="949"/>
      <c r="O412" s="23"/>
      <c r="R412" s="23"/>
      <c r="S412" s="949"/>
      <c r="T412" s="23"/>
      <c r="U412" s="23"/>
      <c r="V412" s="23"/>
      <c r="W412" s="23"/>
      <c r="X412" s="23"/>
      <c r="Y412" s="23"/>
      <c r="Z412" s="23"/>
      <c r="AA412" s="23"/>
      <c r="AB412" s="23"/>
      <c r="AC412" s="23"/>
      <c r="AD412" s="23"/>
      <c r="AE412" s="23"/>
      <c r="AF412" s="23"/>
      <c r="AG412" s="23"/>
      <c r="AH412" s="23"/>
      <c r="AI412" s="23"/>
      <c r="AJ412" s="23"/>
      <c r="AK412" s="23"/>
      <c r="AL412" s="23"/>
      <c r="AM412" s="23"/>
      <c r="AN412" s="23"/>
    </row>
    <row r="413" spans="13:40" x14ac:dyDescent="0.2">
      <c r="M413" s="23"/>
      <c r="N413" s="949"/>
      <c r="O413" s="23"/>
      <c r="R413" s="23"/>
      <c r="S413" s="949"/>
      <c r="T413" s="23"/>
      <c r="U413" s="23"/>
      <c r="V413" s="23"/>
      <c r="W413" s="23"/>
      <c r="X413" s="23"/>
      <c r="Y413" s="23"/>
      <c r="Z413" s="23"/>
      <c r="AA413" s="23"/>
      <c r="AB413" s="23"/>
      <c r="AC413" s="23"/>
      <c r="AD413" s="23"/>
      <c r="AE413" s="23"/>
      <c r="AF413" s="23"/>
      <c r="AG413" s="23"/>
      <c r="AH413" s="23"/>
      <c r="AI413" s="23"/>
      <c r="AJ413" s="23"/>
      <c r="AK413" s="23"/>
      <c r="AL413" s="23"/>
      <c r="AM413" s="23"/>
      <c r="AN413" s="23"/>
    </row>
    <row r="414" spans="13:40" x14ac:dyDescent="0.2">
      <c r="M414" s="23"/>
      <c r="N414" s="949"/>
      <c r="O414" s="23"/>
      <c r="R414" s="23"/>
      <c r="S414" s="949"/>
      <c r="T414" s="23"/>
      <c r="U414" s="23"/>
      <c r="V414" s="23"/>
      <c r="W414" s="23"/>
      <c r="X414" s="23"/>
      <c r="Y414" s="23"/>
      <c r="Z414" s="23"/>
      <c r="AA414" s="23"/>
      <c r="AB414" s="23"/>
      <c r="AC414" s="23"/>
      <c r="AD414" s="23"/>
      <c r="AE414" s="23"/>
      <c r="AF414" s="23"/>
      <c r="AG414" s="23"/>
      <c r="AH414" s="23"/>
      <c r="AI414" s="23"/>
      <c r="AJ414" s="23"/>
      <c r="AK414" s="23"/>
      <c r="AL414" s="23"/>
      <c r="AM414" s="23"/>
      <c r="AN414" s="23"/>
    </row>
    <row r="415" spans="13:40" x14ac:dyDescent="0.2">
      <c r="M415" s="23"/>
      <c r="N415" s="949"/>
      <c r="O415" s="23"/>
      <c r="R415" s="23"/>
      <c r="S415" s="949"/>
      <c r="T415" s="23"/>
      <c r="U415" s="23"/>
      <c r="V415" s="23"/>
      <c r="W415" s="23"/>
      <c r="X415" s="23"/>
      <c r="Y415" s="23"/>
      <c r="Z415" s="23"/>
      <c r="AA415" s="23"/>
      <c r="AB415" s="23"/>
      <c r="AC415" s="23"/>
      <c r="AD415" s="23"/>
      <c r="AE415" s="23"/>
      <c r="AF415" s="23"/>
      <c r="AG415" s="23"/>
      <c r="AH415" s="23"/>
      <c r="AI415" s="23"/>
      <c r="AJ415" s="23"/>
      <c r="AK415" s="23"/>
      <c r="AL415" s="23"/>
      <c r="AM415" s="23"/>
      <c r="AN415" s="23"/>
    </row>
    <row r="416" spans="13:40" x14ac:dyDescent="0.2">
      <c r="M416" s="23"/>
      <c r="N416" s="949"/>
      <c r="O416" s="23"/>
      <c r="R416" s="23"/>
      <c r="S416" s="949"/>
      <c r="T416" s="23"/>
      <c r="U416" s="23"/>
      <c r="V416" s="23"/>
      <c r="W416" s="23"/>
      <c r="X416" s="23"/>
      <c r="Y416" s="23"/>
      <c r="Z416" s="23"/>
      <c r="AA416" s="23"/>
      <c r="AB416" s="23"/>
      <c r="AC416" s="23"/>
      <c r="AD416" s="23"/>
      <c r="AE416" s="23"/>
      <c r="AF416" s="23"/>
      <c r="AG416" s="23"/>
      <c r="AH416" s="23"/>
      <c r="AI416" s="23"/>
      <c r="AJ416" s="23"/>
      <c r="AK416" s="23"/>
      <c r="AL416" s="23"/>
      <c r="AM416" s="23"/>
      <c r="AN416" s="23"/>
    </row>
    <row r="417" spans="13:40" x14ac:dyDescent="0.2">
      <c r="M417" s="23"/>
      <c r="N417" s="949"/>
      <c r="O417" s="23"/>
      <c r="R417" s="23"/>
      <c r="S417" s="949"/>
      <c r="T417" s="23"/>
      <c r="U417" s="23"/>
      <c r="V417" s="23"/>
      <c r="W417" s="23"/>
      <c r="X417" s="23"/>
      <c r="Y417" s="23"/>
      <c r="Z417" s="23"/>
      <c r="AA417" s="23"/>
      <c r="AB417" s="23"/>
      <c r="AC417" s="23"/>
      <c r="AD417" s="23"/>
      <c r="AE417" s="23"/>
      <c r="AF417" s="23"/>
      <c r="AG417" s="23"/>
      <c r="AH417" s="23"/>
      <c r="AI417" s="23"/>
      <c r="AJ417" s="23"/>
      <c r="AK417" s="23"/>
      <c r="AL417" s="23"/>
      <c r="AM417" s="23"/>
      <c r="AN417" s="23"/>
    </row>
    <row r="418" spans="13:40" x14ac:dyDescent="0.2">
      <c r="M418" s="23"/>
      <c r="N418" s="949"/>
      <c r="O418" s="23"/>
      <c r="R418" s="23"/>
      <c r="S418" s="949"/>
      <c r="T418" s="23"/>
      <c r="U418" s="23"/>
      <c r="V418" s="23"/>
      <c r="W418" s="23"/>
      <c r="X418" s="23"/>
      <c r="Y418" s="23"/>
      <c r="Z418" s="23"/>
      <c r="AA418" s="23"/>
      <c r="AB418" s="23"/>
      <c r="AC418" s="23"/>
      <c r="AD418" s="23"/>
      <c r="AE418" s="23"/>
      <c r="AF418" s="23"/>
      <c r="AG418" s="23"/>
      <c r="AH418" s="23"/>
      <c r="AI418" s="23"/>
      <c r="AJ418" s="23"/>
      <c r="AK418" s="23"/>
      <c r="AL418" s="23"/>
      <c r="AM418" s="23"/>
      <c r="AN418" s="23"/>
    </row>
    <row r="419" spans="13:40" x14ac:dyDescent="0.2">
      <c r="M419" s="23"/>
      <c r="N419" s="949"/>
      <c r="O419" s="23"/>
      <c r="R419" s="23"/>
      <c r="S419" s="949"/>
      <c r="T419" s="23"/>
      <c r="U419" s="23"/>
      <c r="V419" s="23"/>
      <c r="W419" s="23"/>
      <c r="X419" s="23"/>
      <c r="Y419" s="23"/>
      <c r="Z419" s="23"/>
      <c r="AA419" s="23"/>
      <c r="AB419" s="23"/>
      <c r="AC419" s="23"/>
      <c r="AD419" s="23"/>
      <c r="AE419" s="23"/>
      <c r="AF419" s="23"/>
      <c r="AG419" s="23"/>
      <c r="AH419" s="23"/>
      <c r="AI419" s="23"/>
      <c r="AJ419" s="23"/>
      <c r="AK419" s="23"/>
      <c r="AL419" s="23"/>
      <c r="AM419" s="23"/>
      <c r="AN419" s="23"/>
    </row>
    <row r="420" spans="13:40" x14ac:dyDescent="0.2">
      <c r="M420" s="23"/>
      <c r="N420" s="949"/>
      <c r="O420" s="23"/>
      <c r="R420" s="23"/>
      <c r="S420" s="949"/>
      <c r="T420" s="23"/>
      <c r="U420" s="23"/>
      <c r="V420" s="23"/>
      <c r="W420" s="23"/>
      <c r="X420" s="23"/>
      <c r="Y420" s="23"/>
      <c r="Z420" s="23"/>
      <c r="AA420" s="23"/>
      <c r="AB420" s="23"/>
      <c r="AC420" s="23"/>
      <c r="AD420" s="23"/>
      <c r="AE420" s="23"/>
      <c r="AF420" s="23"/>
      <c r="AG420" s="23"/>
      <c r="AH420" s="23"/>
      <c r="AI420" s="23"/>
      <c r="AJ420" s="23"/>
      <c r="AK420" s="23"/>
      <c r="AL420" s="23"/>
      <c r="AM420" s="23"/>
      <c r="AN420" s="23"/>
    </row>
    <row r="421" spans="13:40" x14ac:dyDescent="0.2">
      <c r="M421" s="23"/>
      <c r="N421" s="949"/>
      <c r="O421" s="23"/>
      <c r="R421" s="23"/>
      <c r="S421" s="949"/>
      <c r="T421" s="23"/>
      <c r="U421" s="23"/>
      <c r="V421" s="23"/>
      <c r="W421" s="23"/>
      <c r="X421" s="23"/>
      <c r="Y421" s="23"/>
      <c r="Z421" s="23"/>
      <c r="AA421" s="23"/>
      <c r="AB421" s="23"/>
      <c r="AC421" s="23"/>
      <c r="AD421" s="23"/>
      <c r="AE421" s="23"/>
      <c r="AF421" s="23"/>
      <c r="AG421" s="23"/>
      <c r="AH421" s="23"/>
      <c r="AI421" s="23"/>
      <c r="AJ421" s="23"/>
      <c r="AK421" s="23"/>
      <c r="AL421" s="23"/>
      <c r="AM421" s="23"/>
      <c r="AN421" s="23"/>
    </row>
    <row r="422" spans="13:40" x14ac:dyDescent="0.2">
      <c r="M422" s="23"/>
      <c r="N422" s="949"/>
      <c r="O422" s="23"/>
      <c r="R422" s="23"/>
      <c r="S422" s="949"/>
      <c r="T422" s="23"/>
      <c r="U422" s="23"/>
      <c r="V422" s="23"/>
      <c r="W422" s="23"/>
      <c r="X422" s="23"/>
      <c r="Y422" s="23"/>
      <c r="Z422" s="23"/>
      <c r="AA422" s="23"/>
      <c r="AB422" s="23"/>
      <c r="AC422" s="23"/>
      <c r="AD422" s="23"/>
      <c r="AE422" s="23"/>
      <c r="AF422" s="23"/>
      <c r="AG422" s="23"/>
      <c r="AH422" s="23"/>
      <c r="AI422" s="23"/>
      <c r="AJ422" s="23"/>
      <c r="AK422" s="23"/>
      <c r="AL422" s="23"/>
      <c r="AM422" s="23"/>
      <c r="AN422" s="23"/>
    </row>
    <row r="423" spans="13:40" x14ac:dyDescent="0.2">
      <c r="M423" s="23"/>
      <c r="N423" s="949"/>
      <c r="O423" s="23"/>
      <c r="R423" s="23"/>
      <c r="S423" s="949"/>
      <c r="T423" s="23"/>
      <c r="U423" s="23"/>
      <c r="V423" s="23"/>
      <c r="W423" s="23"/>
      <c r="X423" s="23"/>
      <c r="Y423" s="23"/>
      <c r="Z423" s="23"/>
      <c r="AA423" s="23"/>
      <c r="AB423" s="23"/>
      <c r="AC423" s="23"/>
      <c r="AD423" s="23"/>
      <c r="AE423" s="23"/>
      <c r="AF423" s="23"/>
      <c r="AG423" s="23"/>
      <c r="AH423" s="23"/>
      <c r="AI423" s="23"/>
      <c r="AJ423" s="23"/>
      <c r="AK423" s="23"/>
      <c r="AL423" s="23"/>
      <c r="AM423" s="23"/>
      <c r="AN423" s="23"/>
    </row>
    <row r="424" spans="13:40" x14ac:dyDescent="0.2">
      <c r="M424" s="23"/>
      <c r="N424" s="949"/>
      <c r="O424" s="23"/>
      <c r="R424" s="23"/>
      <c r="S424" s="949"/>
      <c r="T424" s="23"/>
      <c r="U424" s="23"/>
      <c r="V424" s="23"/>
      <c r="W424" s="23"/>
      <c r="X424" s="23"/>
      <c r="Y424" s="23"/>
      <c r="Z424" s="23"/>
      <c r="AA424" s="23"/>
      <c r="AB424" s="23"/>
      <c r="AC424" s="23"/>
      <c r="AD424" s="23"/>
      <c r="AE424" s="23"/>
      <c r="AF424" s="23"/>
      <c r="AG424" s="23"/>
      <c r="AH424" s="23"/>
      <c r="AI424" s="23"/>
      <c r="AJ424" s="23"/>
      <c r="AK424" s="23"/>
      <c r="AL424" s="23"/>
      <c r="AM424" s="23"/>
      <c r="AN424" s="23"/>
    </row>
    <row r="425" spans="13:40" x14ac:dyDescent="0.2">
      <c r="M425" s="23"/>
      <c r="N425" s="949"/>
      <c r="O425" s="23"/>
      <c r="R425" s="23"/>
      <c r="S425" s="949"/>
      <c r="T425" s="23"/>
      <c r="U425" s="23"/>
      <c r="V425" s="23"/>
      <c r="W425" s="23"/>
      <c r="X425" s="23"/>
      <c r="Y425" s="23"/>
      <c r="Z425" s="23"/>
      <c r="AA425" s="23"/>
      <c r="AB425" s="23"/>
      <c r="AC425" s="23"/>
      <c r="AD425" s="23"/>
      <c r="AE425" s="23"/>
      <c r="AF425" s="23"/>
      <c r="AG425" s="23"/>
      <c r="AH425" s="23"/>
      <c r="AI425" s="23"/>
      <c r="AJ425" s="23"/>
      <c r="AK425" s="23"/>
      <c r="AL425" s="23"/>
      <c r="AM425" s="23"/>
      <c r="AN425" s="23"/>
    </row>
    <row r="426" spans="13:40" x14ac:dyDescent="0.2">
      <c r="M426" s="23"/>
      <c r="N426" s="949"/>
      <c r="O426" s="23"/>
      <c r="R426" s="23"/>
      <c r="S426" s="949"/>
      <c r="T426" s="23"/>
      <c r="U426" s="23"/>
      <c r="V426" s="23"/>
      <c r="W426" s="23"/>
      <c r="X426" s="23"/>
      <c r="Y426" s="23"/>
      <c r="Z426" s="23"/>
      <c r="AA426" s="23"/>
      <c r="AB426" s="23"/>
      <c r="AC426" s="23"/>
      <c r="AD426" s="23"/>
      <c r="AE426" s="23"/>
      <c r="AF426" s="23"/>
      <c r="AG426" s="23"/>
      <c r="AH426" s="23"/>
      <c r="AI426" s="23"/>
      <c r="AJ426" s="23"/>
      <c r="AK426" s="23"/>
      <c r="AL426" s="23"/>
      <c r="AM426" s="23"/>
      <c r="AN426" s="23"/>
    </row>
    <row r="427" spans="13:40" x14ac:dyDescent="0.2">
      <c r="M427" s="23"/>
      <c r="N427" s="949"/>
      <c r="O427" s="23"/>
      <c r="R427" s="23"/>
      <c r="S427" s="949"/>
      <c r="T427" s="23"/>
      <c r="U427" s="23"/>
      <c r="V427" s="23"/>
      <c r="W427" s="23"/>
      <c r="X427" s="23"/>
      <c r="Y427" s="23"/>
      <c r="Z427" s="23"/>
      <c r="AA427" s="23"/>
      <c r="AB427" s="23"/>
      <c r="AC427" s="23"/>
      <c r="AD427" s="23"/>
      <c r="AE427" s="23"/>
      <c r="AF427" s="23"/>
      <c r="AG427" s="23"/>
      <c r="AH427" s="23"/>
      <c r="AI427" s="23"/>
      <c r="AJ427" s="23"/>
      <c r="AK427" s="23"/>
      <c r="AL427" s="23"/>
      <c r="AM427" s="23"/>
      <c r="AN427" s="23"/>
    </row>
    <row r="428" spans="13:40" x14ac:dyDescent="0.2">
      <c r="M428" s="23"/>
      <c r="N428" s="949"/>
      <c r="O428" s="23"/>
      <c r="R428" s="23"/>
      <c r="S428" s="949"/>
      <c r="T428" s="23"/>
      <c r="U428" s="23"/>
      <c r="V428" s="23"/>
      <c r="W428" s="23"/>
      <c r="X428" s="23"/>
      <c r="Y428" s="23"/>
      <c r="Z428" s="23"/>
      <c r="AA428" s="23"/>
      <c r="AB428" s="23"/>
      <c r="AC428" s="23"/>
      <c r="AD428" s="23"/>
      <c r="AE428" s="23"/>
      <c r="AF428" s="23"/>
      <c r="AG428" s="23"/>
      <c r="AH428" s="23"/>
      <c r="AI428" s="23"/>
      <c r="AJ428" s="23"/>
      <c r="AK428" s="23"/>
      <c r="AL428" s="23"/>
      <c r="AM428" s="23"/>
      <c r="AN428" s="23"/>
    </row>
    <row r="429" spans="13:40" x14ac:dyDescent="0.2">
      <c r="M429" s="23"/>
      <c r="N429" s="949"/>
      <c r="O429" s="23"/>
      <c r="R429" s="23"/>
      <c r="S429" s="949"/>
      <c r="T429" s="23"/>
      <c r="U429" s="23"/>
      <c r="V429" s="23"/>
      <c r="W429" s="23"/>
      <c r="X429" s="23"/>
      <c r="Y429" s="23"/>
      <c r="Z429" s="23"/>
      <c r="AA429" s="23"/>
      <c r="AB429" s="23"/>
      <c r="AC429" s="23"/>
      <c r="AD429" s="23"/>
      <c r="AE429" s="23"/>
      <c r="AF429" s="23"/>
      <c r="AG429" s="23"/>
      <c r="AH429" s="23"/>
      <c r="AI429" s="23"/>
      <c r="AJ429" s="23"/>
      <c r="AK429" s="23"/>
      <c r="AL429" s="23"/>
      <c r="AM429" s="23"/>
      <c r="AN429" s="23"/>
    </row>
    <row r="430" spans="13:40" x14ac:dyDescent="0.2">
      <c r="M430" s="23"/>
      <c r="N430" s="949"/>
      <c r="O430" s="23"/>
      <c r="R430" s="23"/>
      <c r="S430" s="949"/>
      <c r="T430" s="23"/>
      <c r="U430" s="23"/>
      <c r="V430" s="23"/>
      <c r="W430" s="23"/>
      <c r="X430" s="23"/>
      <c r="Y430" s="23"/>
      <c r="Z430" s="23"/>
      <c r="AA430" s="23"/>
      <c r="AB430" s="23"/>
      <c r="AC430" s="23"/>
      <c r="AD430" s="23"/>
      <c r="AE430" s="23"/>
      <c r="AF430" s="23"/>
      <c r="AG430" s="23"/>
      <c r="AH430" s="23"/>
      <c r="AI430" s="23"/>
      <c r="AJ430" s="23"/>
      <c r="AK430" s="23"/>
      <c r="AL430" s="23"/>
      <c r="AM430" s="23"/>
      <c r="AN430" s="23"/>
    </row>
    <row r="431" spans="13:40" x14ac:dyDescent="0.2">
      <c r="M431" s="23"/>
      <c r="N431" s="949"/>
      <c r="O431" s="23"/>
      <c r="R431" s="23"/>
      <c r="S431" s="949"/>
      <c r="T431" s="23"/>
      <c r="U431" s="23"/>
      <c r="V431" s="23"/>
      <c r="W431" s="23"/>
      <c r="X431" s="23"/>
      <c r="Y431" s="23"/>
      <c r="Z431" s="23"/>
      <c r="AA431" s="23"/>
      <c r="AB431" s="23"/>
      <c r="AC431" s="23"/>
      <c r="AD431" s="23"/>
      <c r="AE431" s="23"/>
      <c r="AF431" s="23"/>
      <c r="AG431" s="23"/>
      <c r="AH431" s="23"/>
      <c r="AI431" s="23"/>
      <c r="AJ431" s="23"/>
      <c r="AK431" s="23"/>
      <c r="AL431" s="23"/>
      <c r="AM431" s="23"/>
      <c r="AN431" s="23"/>
    </row>
    <row r="432" spans="13:40" x14ac:dyDescent="0.2">
      <c r="M432" s="23"/>
      <c r="N432" s="949"/>
      <c r="O432" s="23"/>
      <c r="R432" s="23"/>
      <c r="S432" s="949"/>
      <c r="T432" s="23"/>
      <c r="U432" s="23"/>
      <c r="V432" s="23"/>
      <c r="W432" s="23"/>
      <c r="X432" s="23"/>
      <c r="Y432" s="23"/>
      <c r="Z432" s="23"/>
      <c r="AA432" s="23"/>
      <c r="AB432" s="23"/>
      <c r="AC432" s="23"/>
      <c r="AD432" s="23"/>
      <c r="AE432" s="23"/>
      <c r="AF432" s="23"/>
      <c r="AG432" s="23"/>
      <c r="AH432" s="23"/>
      <c r="AI432" s="23"/>
      <c r="AJ432" s="23"/>
      <c r="AK432" s="23"/>
      <c r="AL432" s="23"/>
      <c r="AM432" s="23"/>
      <c r="AN432" s="23"/>
    </row>
    <row r="433" spans="13:40" x14ac:dyDescent="0.2">
      <c r="M433" s="23"/>
      <c r="N433" s="949"/>
      <c r="O433" s="23"/>
      <c r="R433" s="23"/>
      <c r="S433" s="949"/>
      <c r="T433" s="23"/>
      <c r="U433" s="23"/>
      <c r="V433" s="23"/>
      <c r="W433" s="23"/>
      <c r="X433" s="23"/>
      <c r="Y433" s="23"/>
      <c r="Z433" s="23"/>
      <c r="AA433" s="23"/>
      <c r="AB433" s="23"/>
      <c r="AC433" s="23"/>
      <c r="AD433" s="23"/>
      <c r="AE433" s="23"/>
      <c r="AF433" s="23"/>
      <c r="AG433" s="23"/>
      <c r="AH433" s="23"/>
      <c r="AI433" s="23"/>
      <c r="AJ433" s="23"/>
      <c r="AK433" s="23"/>
      <c r="AL433" s="23"/>
      <c r="AM433" s="23"/>
      <c r="AN433" s="23"/>
    </row>
    <row r="434" spans="13:40" x14ac:dyDescent="0.2">
      <c r="M434" s="23"/>
      <c r="N434" s="949"/>
      <c r="O434" s="23"/>
      <c r="R434" s="23"/>
      <c r="S434" s="949"/>
      <c r="T434" s="23"/>
      <c r="U434" s="23"/>
      <c r="V434" s="23"/>
      <c r="W434" s="23"/>
      <c r="X434" s="23"/>
      <c r="Y434" s="23"/>
      <c r="Z434" s="23"/>
      <c r="AA434" s="23"/>
      <c r="AB434" s="23"/>
      <c r="AC434" s="23"/>
      <c r="AD434" s="23"/>
      <c r="AE434" s="23"/>
      <c r="AF434" s="23"/>
      <c r="AG434" s="23"/>
      <c r="AH434" s="23"/>
      <c r="AI434" s="23"/>
      <c r="AJ434" s="23"/>
      <c r="AK434" s="23"/>
      <c r="AL434" s="23"/>
      <c r="AM434" s="23"/>
      <c r="AN434" s="23"/>
    </row>
    <row r="435" spans="13:40" x14ac:dyDescent="0.2">
      <c r="M435" s="23"/>
      <c r="N435" s="949"/>
      <c r="O435" s="23"/>
      <c r="R435" s="23"/>
      <c r="S435" s="949"/>
      <c r="T435" s="23"/>
      <c r="U435" s="23"/>
      <c r="V435" s="23"/>
      <c r="W435" s="23"/>
      <c r="X435" s="23"/>
      <c r="Y435" s="23"/>
      <c r="Z435" s="23"/>
      <c r="AA435" s="23"/>
      <c r="AB435" s="23"/>
      <c r="AC435" s="23"/>
      <c r="AD435" s="23"/>
      <c r="AE435" s="23"/>
      <c r="AF435" s="23"/>
      <c r="AG435" s="23"/>
      <c r="AH435" s="23"/>
      <c r="AI435" s="23"/>
      <c r="AJ435" s="23"/>
      <c r="AK435" s="23"/>
      <c r="AL435" s="23"/>
      <c r="AM435" s="23"/>
      <c r="AN435" s="23"/>
    </row>
    <row r="436" spans="13:40" x14ac:dyDescent="0.2">
      <c r="M436" s="23"/>
      <c r="N436" s="949"/>
      <c r="O436" s="23"/>
      <c r="R436" s="23"/>
      <c r="S436" s="949"/>
      <c r="T436" s="23"/>
      <c r="U436" s="23"/>
      <c r="V436" s="23"/>
      <c r="W436" s="23"/>
      <c r="X436" s="23"/>
      <c r="Y436" s="23"/>
      <c r="Z436" s="23"/>
      <c r="AA436" s="23"/>
      <c r="AB436" s="23"/>
      <c r="AC436" s="23"/>
      <c r="AD436" s="23"/>
      <c r="AE436" s="23"/>
      <c r="AF436" s="23"/>
      <c r="AG436" s="23"/>
      <c r="AH436" s="23"/>
      <c r="AI436" s="23"/>
      <c r="AJ436" s="23"/>
      <c r="AK436" s="23"/>
      <c r="AL436" s="23"/>
      <c r="AM436" s="23"/>
      <c r="AN436" s="23"/>
    </row>
    <row r="437" spans="13:40" x14ac:dyDescent="0.2">
      <c r="M437" s="23"/>
      <c r="N437" s="949"/>
      <c r="O437" s="23"/>
      <c r="R437" s="23"/>
      <c r="S437" s="949"/>
      <c r="T437" s="23"/>
      <c r="U437" s="23"/>
      <c r="V437" s="23"/>
      <c r="W437" s="23"/>
      <c r="X437" s="23"/>
      <c r="Y437" s="23"/>
      <c r="Z437" s="23"/>
      <c r="AA437" s="23"/>
      <c r="AB437" s="23"/>
      <c r="AC437" s="23"/>
      <c r="AD437" s="23"/>
      <c r="AE437" s="23"/>
      <c r="AF437" s="23"/>
      <c r="AG437" s="23"/>
      <c r="AH437" s="23"/>
      <c r="AI437" s="23"/>
      <c r="AJ437" s="23"/>
      <c r="AK437" s="23"/>
      <c r="AL437" s="23"/>
      <c r="AM437" s="23"/>
      <c r="AN437" s="23"/>
    </row>
    <row r="438" spans="13:40" x14ac:dyDescent="0.2">
      <c r="M438" s="23"/>
      <c r="N438" s="949"/>
      <c r="O438" s="23"/>
      <c r="R438" s="23"/>
      <c r="S438" s="949"/>
      <c r="T438" s="23"/>
      <c r="U438" s="23"/>
      <c r="V438" s="23"/>
      <c r="W438" s="23"/>
      <c r="X438" s="23"/>
      <c r="Y438" s="23"/>
      <c r="Z438" s="23"/>
      <c r="AA438" s="23"/>
      <c r="AB438" s="23"/>
      <c r="AC438" s="23"/>
      <c r="AD438" s="23"/>
      <c r="AE438" s="23"/>
      <c r="AF438" s="23"/>
      <c r="AG438" s="23"/>
      <c r="AH438" s="23"/>
      <c r="AI438" s="23"/>
      <c r="AJ438" s="23"/>
      <c r="AK438" s="23"/>
      <c r="AL438" s="23"/>
      <c r="AM438" s="23"/>
      <c r="AN438" s="23"/>
    </row>
    <row r="439" spans="13:40" x14ac:dyDescent="0.2">
      <c r="M439" s="23"/>
      <c r="N439" s="949"/>
      <c r="O439" s="23"/>
      <c r="R439" s="23"/>
      <c r="S439" s="949"/>
      <c r="T439" s="23"/>
      <c r="U439" s="23"/>
      <c r="V439" s="23"/>
      <c r="W439" s="23"/>
      <c r="X439" s="23"/>
      <c r="Y439" s="23"/>
      <c r="Z439" s="23"/>
      <c r="AA439" s="23"/>
      <c r="AB439" s="23"/>
      <c r="AC439" s="23"/>
      <c r="AD439" s="23"/>
      <c r="AE439" s="23"/>
      <c r="AF439" s="23"/>
      <c r="AG439" s="23"/>
      <c r="AH439" s="23"/>
      <c r="AI439" s="23"/>
      <c r="AJ439" s="23"/>
      <c r="AK439" s="23"/>
      <c r="AL439" s="23"/>
      <c r="AM439" s="23"/>
      <c r="AN439" s="23"/>
    </row>
    <row r="440" spans="13:40" x14ac:dyDescent="0.2">
      <c r="M440" s="23"/>
      <c r="N440" s="949"/>
      <c r="O440" s="23"/>
      <c r="R440" s="23"/>
      <c r="S440" s="949"/>
      <c r="T440" s="23"/>
      <c r="U440" s="23"/>
      <c r="V440" s="23"/>
      <c r="W440" s="23"/>
      <c r="X440" s="23"/>
      <c r="Y440" s="23"/>
      <c r="Z440" s="23"/>
      <c r="AA440" s="23"/>
      <c r="AB440" s="23"/>
      <c r="AC440" s="23"/>
      <c r="AD440" s="23"/>
      <c r="AE440" s="23"/>
      <c r="AF440" s="23"/>
      <c r="AG440" s="23"/>
      <c r="AH440" s="23"/>
      <c r="AI440" s="23"/>
      <c r="AJ440" s="23"/>
      <c r="AK440" s="23"/>
      <c r="AL440" s="23"/>
      <c r="AM440" s="23"/>
      <c r="AN440" s="23"/>
    </row>
    <row r="441" spans="13:40" x14ac:dyDescent="0.2">
      <c r="M441" s="23"/>
      <c r="N441" s="949"/>
      <c r="O441" s="23"/>
      <c r="R441" s="23"/>
      <c r="S441" s="949"/>
      <c r="T441" s="23"/>
      <c r="U441" s="23"/>
      <c r="V441" s="23"/>
      <c r="W441" s="23"/>
      <c r="X441" s="23"/>
      <c r="Y441" s="23"/>
      <c r="Z441" s="23"/>
      <c r="AA441" s="23"/>
      <c r="AB441" s="23"/>
      <c r="AC441" s="23"/>
      <c r="AD441" s="23"/>
      <c r="AE441" s="23"/>
      <c r="AF441" s="23"/>
      <c r="AG441" s="23"/>
      <c r="AH441" s="23"/>
      <c r="AI441" s="23"/>
      <c r="AJ441" s="23"/>
      <c r="AK441" s="23"/>
      <c r="AL441" s="23"/>
      <c r="AM441" s="23"/>
      <c r="AN441" s="23"/>
    </row>
    <row r="442" spans="13:40" x14ac:dyDescent="0.2">
      <c r="M442" s="23"/>
      <c r="N442" s="949"/>
      <c r="O442" s="23"/>
      <c r="R442" s="23"/>
      <c r="S442" s="949"/>
      <c r="T442" s="23"/>
      <c r="U442" s="23"/>
      <c r="V442" s="23"/>
      <c r="W442" s="23"/>
      <c r="X442" s="23"/>
      <c r="Y442" s="23"/>
      <c r="Z442" s="23"/>
      <c r="AA442" s="23"/>
      <c r="AB442" s="23"/>
      <c r="AC442" s="23"/>
      <c r="AD442" s="23"/>
      <c r="AE442" s="23"/>
      <c r="AF442" s="23"/>
      <c r="AG442" s="23"/>
      <c r="AH442" s="23"/>
      <c r="AI442" s="23"/>
      <c r="AJ442" s="23"/>
      <c r="AK442" s="23"/>
      <c r="AL442" s="23"/>
      <c r="AM442" s="23"/>
      <c r="AN442" s="23"/>
    </row>
    <row r="443" spans="13:40" x14ac:dyDescent="0.2">
      <c r="M443" s="23"/>
      <c r="N443" s="949"/>
      <c r="O443" s="23"/>
      <c r="R443" s="23"/>
      <c r="S443" s="949"/>
      <c r="T443" s="23"/>
      <c r="U443" s="23"/>
      <c r="V443" s="23"/>
      <c r="W443" s="23"/>
      <c r="X443" s="23"/>
      <c r="Y443" s="23"/>
      <c r="Z443" s="23"/>
      <c r="AA443" s="23"/>
      <c r="AB443" s="23"/>
      <c r="AC443" s="23"/>
      <c r="AD443" s="23"/>
      <c r="AE443" s="23"/>
      <c r="AF443" s="23"/>
      <c r="AG443" s="23"/>
      <c r="AH443" s="23"/>
      <c r="AI443" s="23"/>
      <c r="AJ443" s="23"/>
      <c r="AK443" s="23"/>
      <c r="AL443" s="23"/>
      <c r="AM443" s="23"/>
      <c r="AN443" s="23"/>
    </row>
    <row r="444" spans="13:40" x14ac:dyDescent="0.2">
      <c r="M444" s="23"/>
      <c r="N444" s="949"/>
      <c r="O444" s="23"/>
      <c r="R444" s="23"/>
      <c r="S444" s="949"/>
      <c r="T444" s="23"/>
      <c r="U444" s="23"/>
      <c r="V444" s="23"/>
      <c r="W444" s="23"/>
      <c r="X444" s="23"/>
      <c r="Y444" s="23"/>
      <c r="Z444" s="23"/>
      <c r="AA444" s="23"/>
      <c r="AB444" s="23"/>
      <c r="AC444" s="23"/>
      <c r="AD444" s="23"/>
      <c r="AE444" s="23"/>
      <c r="AF444" s="23"/>
      <c r="AG444" s="23"/>
      <c r="AH444" s="23"/>
      <c r="AI444" s="23"/>
      <c r="AJ444" s="23"/>
      <c r="AK444" s="23"/>
      <c r="AL444" s="23"/>
      <c r="AM444" s="23"/>
      <c r="AN444" s="23"/>
    </row>
    <row r="445" spans="13:40" x14ac:dyDescent="0.2">
      <c r="M445" s="23"/>
      <c r="N445" s="949"/>
      <c r="O445" s="23"/>
      <c r="R445" s="23"/>
      <c r="S445" s="949"/>
      <c r="T445" s="23"/>
      <c r="U445" s="23"/>
      <c r="V445" s="23"/>
      <c r="W445" s="23"/>
      <c r="X445" s="23"/>
      <c r="Y445" s="23"/>
      <c r="Z445" s="23"/>
      <c r="AA445" s="23"/>
      <c r="AB445" s="23"/>
      <c r="AC445" s="23"/>
      <c r="AD445" s="23"/>
      <c r="AE445" s="23"/>
      <c r="AF445" s="23"/>
      <c r="AG445" s="23"/>
      <c r="AH445" s="23"/>
      <c r="AI445" s="23"/>
      <c r="AJ445" s="23"/>
      <c r="AK445" s="23"/>
      <c r="AL445" s="23"/>
      <c r="AM445" s="23"/>
      <c r="AN445" s="23"/>
    </row>
    <row r="446" spans="13:40" x14ac:dyDescent="0.2">
      <c r="M446" s="23"/>
      <c r="N446" s="949"/>
      <c r="O446" s="23"/>
      <c r="R446" s="23"/>
      <c r="S446" s="949"/>
      <c r="T446" s="23"/>
      <c r="U446" s="23"/>
      <c r="V446" s="23"/>
      <c r="W446" s="23"/>
      <c r="X446" s="23"/>
      <c r="Y446" s="23"/>
      <c r="Z446" s="23"/>
      <c r="AA446" s="23"/>
      <c r="AB446" s="23"/>
      <c r="AC446" s="23"/>
      <c r="AD446" s="23"/>
      <c r="AE446" s="23"/>
      <c r="AF446" s="23"/>
      <c r="AG446" s="23"/>
      <c r="AH446" s="23"/>
      <c r="AI446" s="23"/>
      <c r="AJ446" s="23"/>
      <c r="AK446" s="23"/>
      <c r="AL446" s="23"/>
      <c r="AM446" s="23"/>
      <c r="AN446" s="23"/>
    </row>
    <row r="447" spans="13:40" x14ac:dyDescent="0.2">
      <c r="M447" s="23"/>
      <c r="N447" s="949"/>
      <c r="O447" s="23"/>
      <c r="R447" s="23"/>
      <c r="S447" s="949"/>
      <c r="T447" s="23"/>
      <c r="U447" s="23"/>
      <c r="V447" s="23"/>
      <c r="W447" s="23"/>
      <c r="X447" s="23"/>
      <c r="Y447" s="23"/>
      <c r="Z447" s="23"/>
      <c r="AA447" s="23"/>
      <c r="AB447" s="23"/>
      <c r="AC447" s="23"/>
      <c r="AD447" s="23"/>
      <c r="AE447" s="23"/>
      <c r="AF447" s="23"/>
      <c r="AG447" s="23"/>
      <c r="AH447" s="23"/>
      <c r="AI447" s="23"/>
      <c r="AJ447" s="23"/>
      <c r="AK447" s="23"/>
      <c r="AL447" s="23"/>
      <c r="AM447" s="23"/>
      <c r="AN447" s="23"/>
    </row>
    <row r="448" spans="13:40" x14ac:dyDescent="0.2">
      <c r="M448" s="23"/>
      <c r="N448" s="949"/>
      <c r="O448" s="23"/>
      <c r="R448" s="23"/>
      <c r="S448" s="949"/>
      <c r="T448" s="23"/>
      <c r="U448" s="23"/>
      <c r="V448" s="23"/>
      <c r="W448" s="23"/>
      <c r="X448" s="23"/>
      <c r="Y448" s="23"/>
      <c r="Z448" s="23"/>
      <c r="AA448" s="23"/>
      <c r="AB448" s="23"/>
      <c r="AC448" s="23"/>
      <c r="AD448" s="23"/>
      <c r="AE448" s="23"/>
      <c r="AF448" s="23"/>
      <c r="AG448" s="23"/>
      <c r="AH448" s="23"/>
      <c r="AI448" s="23"/>
      <c r="AJ448" s="23"/>
      <c r="AK448" s="23"/>
      <c r="AL448" s="23"/>
      <c r="AM448" s="23"/>
      <c r="AN448" s="23"/>
    </row>
    <row r="449" spans="13:40" x14ac:dyDescent="0.2">
      <c r="M449" s="23"/>
      <c r="N449" s="949"/>
      <c r="O449" s="23"/>
      <c r="R449" s="23"/>
      <c r="S449" s="949"/>
      <c r="T449" s="23"/>
      <c r="U449" s="23"/>
      <c r="V449" s="23"/>
      <c r="W449" s="23"/>
      <c r="X449" s="23"/>
      <c r="Y449" s="23"/>
      <c r="Z449" s="23"/>
      <c r="AA449" s="23"/>
      <c r="AB449" s="23"/>
      <c r="AC449" s="23"/>
      <c r="AD449" s="23"/>
      <c r="AE449" s="23"/>
      <c r="AF449" s="23"/>
      <c r="AG449" s="23"/>
      <c r="AH449" s="23"/>
      <c r="AI449" s="23"/>
      <c r="AJ449" s="23"/>
      <c r="AK449" s="23"/>
      <c r="AL449" s="23"/>
      <c r="AM449" s="23"/>
      <c r="AN449" s="23"/>
    </row>
    <row r="450" spans="13:40" x14ac:dyDescent="0.2">
      <c r="M450" s="23"/>
      <c r="N450" s="949"/>
      <c r="O450" s="23"/>
      <c r="R450" s="23"/>
      <c r="S450" s="949"/>
      <c r="T450" s="23"/>
      <c r="U450" s="23"/>
      <c r="V450" s="23"/>
      <c r="W450" s="23"/>
      <c r="X450" s="23"/>
      <c r="Y450" s="23"/>
      <c r="Z450" s="23"/>
      <c r="AA450" s="23"/>
      <c r="AB450" s="23"/>
      <c r="AC450" s="23"/>
      <c r="AD450" s="23"/>
      <c r="AE450" s="23"/>
      <c r="AF450" s="23"/>
      <c r="AG450" s="23"/>
      <c r="AH450" s="23"/>
      <c r="AI450" s="23"/>
      <c r="AJ450" s="23"/>
      <c r="AK450" s="23"/>
      <c r="AL450" s="23"/>
      <c r="AM450" s="23"/>
      <c r="AN450" s="23"/>
    </row>
    <row r="451" spans="13:40" x14ac:dyDescent="0.2">
      <c r="M451" s="23"/>
      <c r="N451" s="949"/>
      <c r="O451" s="23"/>
      <c r="R451" s="23"/>
      <c r="S451" s="949"/>
      <c r="T451" s="23"/>
      <c r="U451" s="23"/>
      <c r="V451" s="23"/>
      <c r="W451" s="23"/>
      <c r="X451" s="23"/>
      <c r="Y451" s="23"/>
      <c r="Z451" s="23"/>
      <c r="AA451" s="23"/>
      <c r="AB451" s="23"/>
      <c r="AC451" s="23"/>
      <c r="AD451" s="23"/>
      <c r="AE451" s="23"/>
      <c r="AF451" s="23"/>
      <c r="AG451" s="23"/>
      <c r="AH451" s="23"/>
      <c r="AI451" s="23"/>
      <c r="AJ451" s="23"/>
      <c r="AK451" s="23"/>
      <c r="AL451" s="23"/>
      <c r="AM451" s="23"/>
      <c r="AN451" s="23"/>
    </row>
    <row r="452" spans="13:40" x14ac:dyDescent="0.2">
      <c r="M452" s="23"/>
      <c r="N452" s="949"/>
      <c r="O452" s="23"/>
      <c r="R452" s="23"/>
      <c r="S452" s="949"/>
      <c r="T452" s="23"/>
      <c r="U452" s="23"/>
      <c r="V452" s="23"/>
      <c r="W452" s="23"/>
      <c r="X452" s="23"/>
      <c r="Y452" s="23"/>
      <c r="Z452" s="23"/>
      <c r="AA452" s="23"/>
      <c r="AB452" s="23"/>
      <c r="AC452" s="23"/>
      <c r="AD452" s="23"/>
      <c r="AE452" s="23"/>
      <c r="AF452" s="23"/>
      <c r="AG452" s="23"/>
      <c r="AH452" s="23"/>
      <c r="AI452" s="23"/>
      <c r="AJ452" s="23"/>
      <c r="AK452" s="23"/>
      <c r="AL452" s="23"/>
      <c r="AM452" s="23"/>
      <c r="AN452" s="23"/>
    </row>
    <row r="453" spans="13:40" x14ac:dyDescent="0.2">
      <c r="M453" s="23"/>
      <c r="N453" s="949"/>
      <c r="O453" s="23"/>
      <c r="R453" s="23"/>
      <c r="S453" s="949"/>
      <c r="T453" s="23"/>
      <c r="U453" s="23"/>
      <c r="V453" s="23"/>
      <c r="W453" s="23"/>
      <c r="X453" s="23"/>
      <c r="Y453" s="23"/>
      <c r="Z453" s="23"/>
      <c r="AA453" s="23"/>
      <c r="AB453" s="23"/>
      <c r="AC453" s="23"/>
      <c r="AD453" s="23"/>
      <c r="AE453" s="23"/>
      <c r="AF453" s="23"/>
      <c r="AG453" s="23"/>
      <c r="AH453" s="23"/>
      <c r="AI453" s="23"/>
      <c r="AJ453" s="23"/>
      <c r="AK453" s="23"/>
      <c r="AL453" s="23"/>
      <c r="AM453" s="23"/>
      <c r="AN453" s="23"/>
    </row>
    <row r="454" spans="13:40" x14ac:dyDescent="0.2">
      <c r="M454" s="23"/>
      <c r="N454" s="949"/>
      <c r="O454" s="23"/>
      <c r="R454" s="23"/>
      <c r="S454" s="949"/>
      <c r="T454" s="23"/>
      <c r="U454" s="23"/>
      <c r="V454" s="23"/>
      <c r="W454" s="23"/>
      <c r="X454" s="23"/>
      <c r="Y454" s="23"/>
      <c r="Z454" s="23"/>
      <c r="AA454" s="23"/>
      <c r="AB454" s="23"/>
      <c r="AC454" s="23"/>
      <c r="AD454" s="23"/>
      <c r="AE454" s="23"/>
      <c r="AF454" s="23"/>
      <c r="AG454" s="23"/>
      <c r="AH454" s="23"/>
      <c r="AI454" s="23"/>
      <c r="AJ454" s="23"/>
      <c r="AK454" s="23"/>
      <c r="AL454" s="23"/>
      <c r="AM454" s="23"/>
      <c r="AN454" s="23"/>
    </row>
    <row r="455" spans="13:40" x14ac:dyDescent="0.2">
      <c r="M455" s="23"/>
      <c r="N455" s="949"/>
      <c r="O455" s="23"/>
      <c r="R455" s="23"/>
      <c r="S455" s="949"/>
      <c r="T455" s="23"/>
      <c r="U455" s="23"/>
      <c r="V455" s="23"/>
      <c r="W455" s="23"/>
      <c r="X455" s="23"/>
      <c r="Y455" s="23"/>
      <c r="Z455" s="23"/>
      <c r="AA455" s="23"/>
      <c r="AB455" s="23"/>
      <c r="AC455" s="23"/>
      <c r="AD455" s="23"/>
      <c r="AE455" s="23"/>
      <c r="AF455" s="23"/>
      <c r="AG455" s="23"/>
      <c r="AH455" s="23"/>
      <c r="AI455" s="23"/>
      <c r="AJ455" s="23"/>
      <c r="AK455" s="23"/>
      <c r="AL455" s="23"/>
      <c r="AM455" s="23"/>
      <c r="AN455" s="23"/>
    </row>
    <row r="456" spans="13:40" x14ac:dyDescent="0.2">
      <c r="M456" s="23"/>
      <c r="N456" s="949"/>
      <c r="O456" s="23"/>
      <c r="R456" s="23"/>
      <c r="S456" s="949"/>
      <c r="T456" s="23"/>
      <c r="U456" s="23"/>
      <c r="V456" s="23"/>
      <c r="W456" s="23"/>
      <c r="X456" s="23"/>
      <c r="Y456" s="23"/>
      <c r="Z456" s="23"/>
      <c r="AA456" s="23"/>
      <c r="AB456" s="23"/>
      <c r="AC456" s="23"/>
      <c r="AD456" s="23"/>
      <c r="AE456" s="23"/>
      <c r="AF456" s="23"/>
      <c r="AG456" s="23"/>
      <c r="AH456" s="23"/>
      <c r="AI456" s="23"/>
      <c r="AJ456" s="23"/>
      <c r="AK456" s="23"/>
      <c r="AL456" s="23"/>
      <c r="AM456" s="23"/>
      <c r="AN456" s="23"/>
    </row>
    <row r="457" spans="13:40" x14ac:dyDescent="0.2">
      <c r="M457" s="23"/>
      <c r="N457" s="949"/>
      <c r="O457" s="23"/>
      <c r="R457" s="23"/>
      <c r="S457" s="949"/>
      <c r="T457" s="23"/>
      <c r="U457" s="23"/>
      <c r="V457" s="23"/>
      <c r="W457" s="23"/>
      <c r="X457" s="23"/>
      <c r="Y457" s="23"/>
      <c r="Z457" s="23"/>
      <c r="AA457" s="23"/>
      <c r="AB457" s="23"/>
      <c r="AC457" s="23"/>
      <c r="AD457" s="23"/>
      <c r="AE457" s="23"/>
      <c r="AF457" s="23"/>
      <c r="AG457" s="23"/>
      <c r="AH457" s="23"/>
      <c r="AI457" s="23"/>
      <c r="AJ457" s="23"/>
      <c r="AK457" s="23"/>
      <c r="AL457" s="23"/>
      <c r="AM457" s="23"/>
      <c r="AN457" s="23"/>
    </row>
    <row r="458" spans="13:40" x14ac:dyDescent="0.2">
      <c r="M458" s="23"/>
      <c r="N458" s="949"/>
      <c r="O458" s="23"/>
      <c r="R458" s="23"/>
      <c r="S458" s="949"/>
      <c r="T458" s="23"/>
      <c r="U458" s="23"/>
      <c r="V458" s="23"/>
      <c r="W458" s="23"/>
      <c r="X458" s="23"/>
      <c r="Y458" s="23"/>
      <c r="Z458" s="23"/>
      <c r="AA458" s="23"/>
      <c r="AB458" s="23"/>
      <c r="AC458" s="23"/>
      <c r="AD458" s="23"/>
      <c r="AE458" s="23"/>
      <c r="AF458" s="23"/>
      <c r="AG458" s="23"/>
      <c r="AH458" s="23"/>
      <c r="AI458" s="23"/>
      <c r="AJ458" s="23"/>
      <c r="AK458" s="23"/>
      <c r="AL458" s="23"/>
      <c r="AM458" s="23"/>
      <c r="AN458" s="23"/>
    </row>
    <row r="459" spans="13:40" x14ac:dyDescent="0.2">
      <c r="M459" s="23"/>
      <c r="N459" s="949"/>
      <c r="O459" s="23"/>
      <c r="R459" s="23"/>
      <c r="S459" s="949"/>
      <c r="T459" s="23"/>
      <c r="U459" s="23"/>
      <c r="V459" s="23"/>
      <c r="W459" s="23"/>
      <c r="X459" s="23"/>
      <c r="Y459" s="23"/>
      <c r="Z459" s="23"/>
      <c r="AA459" s="23"/>
      <c r="AB459" s="23"/>
      <c r="AC459" s="23"/>
      <c r="AD459" s="23"/>
      <c r="AE459" s="23"/>
      <c r="AF459" s="23"/>
      <c r="AG459" s="23"/>
      <c r="AH459" s="23"/>
      <c r="AI459" s="23"/>
      <c r="AJ459" s="23"/>
      <c r="AK459" s="23"/>
      <c r="AL459" s="23"/>
      <c r="AM459" s="23"/>
      <c r="AN459" s="23"/>
    </row>
    <row r="460" spans="13:40" x14ac:dyDescent="0.2">
      <c r="M460" s="23"/>
      <c r="N460" s="949"/>
      <c r="O460" s="23"/>
      <c r="R460" s="23"/>
      <c r="S460" s="949"/>
      <c r="T460" s="23"/>
      <c r="U460" s="23"/>
      <c r="V460" s="23"/>
      <c r="W460" s="23"/>
      <c r="X460" s="23"/>
      <c r="Y460" s="23"/>
      <c r="Z460" s="23"/>
      <c r="AA460" s="23"/>
      <c r="AB460" s="23"/>
      <c r="AC460" s="23"/>
      <c r="AD460" s="23"/>
      <c r="AE460" s="23"/>
      <c r="AF460" s="23"/>
      <c r="AG460" s="23"/>
      <c r="AH460" s="23"/>
      <c r="AI460" s="23"/>
      <c r="AJ460" s="23"/>
      <c r="AK460" s="23"/>
      <c r="AL460" s="23"/>
      <c r="AM460" s="23"/>
      <c r="AN460" s="23"/>
    </row>
    <row r="461" spans="13:40" x14ac:dyDescent="0.2">
      <c r="M461" s="23"/>
      <c r="N461" s="949"/>
      <c r="O461" s="23"/>
      <c r="R461" s="23"/>
      <c r="S461" s="949"/>
      <c r="T461" s="23"/>
      <c r="U461" s="23"/>
      <c r="V461" s="23"/>
      <c r="W461" s="23"/>
      <c r="X461" s="23"/>
      <c r="Y461" s="23"/>
      <c r="Z461" s="23"/>
      <c r="AA461" s="23"/>
      <c r="AB461" s="23"/>
      <c r="AC461" s="23"/>
      <c r="AD461" s="23"/>
      <c r="AE461" s="23"/>
      <c r="AF461" s="23"/>
      <c r="AG461" s="23"/>
      <c r="AH461" s="23"/>
      <c r="AI461" s="23"/>
      <c r="AJ461" s="23"/>
      <c r="AK461" s="23"/>
      <c r="AL461" s="23"/>
      <c r="AM461" s="23"/>
      <c r="AN461" s="23"/>
    </row>
    <row r="462" spans="13:40" x14ac:dyDescent="0.2">
      <c r="M462" s="23"/>
      <c r="N462" s="949"/>
      <c r="O462" s="23"/>
      <c r="R462" s="23"/>
      <c r="S462" s="949"/>
      <c r="T462" s="23"/>
      <c r="U462" s="23"/>
      <c r="V462" s="23"/>
      <c r="W462" s="23"/>
      <c r="X462" s="23"/>
      <c r="Y462" s="23"/>
      <c r="Z462" s="23"/>
      <c r="AA462" s="23"/>
      <c r="AB462" s="23"/>
      <c r="AC462" s="23"/>
      <c r="AD462" s="23"/>
      <c r="AE462" s="23"/>
      <c r="AF462" s="23"/>
      <c r="AG462" s="23"/>
      <c r="AH462" s="23"/>
      <c r="AI462" s="23"/>
      <c r="AJ462" s="23"/>
      <c r="AK462" s="23"/>
      <c r="AL462" s="23"/>
      <c r="AM462" s="23"/>
      <c r="AN462" s="23"/>
    </row>
    <row r="463" spans="13:40" x14ac:dyDescent="0.2">
      <c r="M463" s="23"/>
      <c r="N463" s="949"/>
      <c r="O463" s="23"/>
      <c r="R463" s="23"/>
      <c r="S463" s="949"/>
      <c r="T463" s="23"/>
      <c r="U463" s="23"/>
      <c r="V463" s="23"/>
      <c r="W463" s="23"/>
      <c r="X463" s="23"/>
      <c r="Y463" s="23"/>
      <c r="Z463" s="23"/>
      <c r="AA463" s="23"/>
      <c r="AB463" s="23"/>
      <c r="AC463" s="23"/>
      <c r="AD463" s="23"/>
      <c r="AE463" s="23"/>
      <c r="AF463" s="23"/>
      <c r="AG463" s="23"/>
      <c r="AH463" s="23"/>
      <c r="AI463" s="23"/>
      <c r="AJ463" s="23"/>
      <c r="AK463" s="23"/>
      <c r="AL463" s="23"/>
      <c r="AM463" s="23"/>
      <c r="AN463" s="23"/>
    </row>
    <row r="464" spans="13:40" x14ac:dyDescent="0.2">
      <c r="M464" s="23"/>
      <c r="N464" s="949"/>
      <c r="O464" s="23"/>
      <c r="R464" s="23"/>
      <c r="S464" s="949"/>
      <c r="T464" s="23"/>
      <c r="U464" s="23"/>
      <c r="V464" s="23"/>
      <c r="W464" s="23"/>
      <c r="X464" s="23"/>
      <c r="Y464" s="23"/>
      <c r="Z464" s="23"/>
      <c r="AA464" s="23"/>
      <c r="AB464" s="23"/>
      <c r="AC464" s="23"/>
      <c r="AD464" s="23"/>
      <c r="AE464" s="23"/>
      <c r="AF464" s="23"/>
      <c r="AG464" s="23"/>
      <c r="AH464" s="23"/>
      <c r="AI464" s="23"/>
      <c r="AJ464" s="23"/>
      <c r="AK464" s="23"/>
      <c r="AL464" s="23"/>
      <c r="AM464" s="23"/>
      <c r="AN464" s="23"/>
    </row>
    <row r="465" spans="13:40" x14ac:dyDescent="0.2">
      <c r="M465" s="23"/>
      <c r="N465" s="949"/>
      <c r="O465" s="23"/>
      <c r="R465" s="23"/>
      <c r="S465" s="949"/>
      <c r="T465" s="23"/>
      <c r="U465" s="23"/>
      <c r="V465" s="23"/>
      <c r="W465" s="23"/>
      <c r="X465" s="23"/>
      <c r="Y465" s="23"/>
      <c r="Z465" s="23"/>
      <c r="AA465" s="23"/>
      <c r="AB465" s="23"/>
      <c r="AC465" s="23"/>
      <c r="AD465" s="23"/>
      <c r="AE465" s="23"/>
      <c r="AF465" s="23"/>
      <c r="AG465" s="23"/>
      <c r="AH465" s="23"/>
      <c r="AI465" s="23"/>
      <c r="AJ465" s="23"/>
      <c r="AK465" s="23"/>
      <c r="AL465" s="23"/>
      <c r="AM465" s="23"/>
      <c r="AN465" s="23"/>
    </row>
    <row r="466" spans="13:40" x14ac:dyDescent="0.2">
      <c r="M466" s="23"/>
      <c r="N466" s="949"/>
      <c r="O466" s="23"/>
      <c r="R466" s="23"/>
      <c r="S466" s="949"/>
      <c r="T466" s="23"/>
      <c r="U466" s="23"/>
      <c r="V466" s="23"/>
      <c r="W466" s="23"/>
      <c r="X466" s="23"/>
      <c r="Y466" s="23"/>
      <c r="Z466" s="23"/>
      <c r="AA466" s="23"/>
      <c r="AB466" s="23"/>
      <c r="AC466" s="23"/>
      <c r="AD466" s="23"/>
      <c r="AE466" s="23"/>
      <c r="AF466" s="23"/>
      <c r="AG466" s="23"/>
      <c r="AH466" s="23"/>
      <c r="AI466" s="23"/>
      <c r="AJ466" s="23"/>
      <c r="AK466" s="23"/>
      <c r="AL466" s="23"/>
      <c r="AM466" s="23"/>
      <c r="AN466" s="23"/>
    </row>
    <row r="467" spans="13:40" x14ac:dyDescent="0.2">
      <c r="M467" s="23"/>
      <c r="N467" s="949"/>
      <c r="O467" s="23"/>
      <c r="R467" s="23"/>
      <c r="S467" s="949"/>
      <c r="T467" s="23"/>
      <c r="U467" s="23"/>
      <c r="V467" s="23"/>
      <c r="W467" s="23"/>
      <c r="X467" s="23"/>
      <c r="Y467" s="23"/>
      <c r="Z467" s="23"/>
      <c r="AA467" s="23"/>
      <c r="AB467" s="23"/>
      <c r="AC467" s="23"/>
      <c r="AD467" s="23"/>
      <c r="AE467" s="23"/>
      <c r="AF467" s="23"/>
      <c r="AG467" s="23"/>
      <c r="AH467" s="23"/>
      <c r="AI467" s="23"/>
      <c r="AJ467" s="23"/>
      <c r="AK467" s="23"/>
      <c r="AL467" s="23"/>
      <c r="AM467" s="23"/>
      <c r="AN467" s="23"/>
    </row>
    <row r="468" spans="13:40" x14ac:dyDescent="0.2">
      <c r="M468" s="23"/>
      <c r="N468" s="949"/>
      <c r="O468" s="23"/>
      <c r="R468" s="23"/>
      <c r="S468" s="949"/>
      <c r="T468" s="23"/>
      <c r="U468" s="23"/>
      <c r="V468" s="23"/>
      <c r="W468" s="23"/>
      <c r="X468" s="23"/>
      <c r="Y468" s="23"/>
      <c r="Z468" s="23"/>
      <c r="AA468" s="23"/>
      <c r="AB468" s="23"/>
      <c r="AC468" s="23"/>
      <c r="AD468" s="23"/>
      <c r="AE468" s="23"/>
      <c r="AF468" s="23"/>
      <c r="AG468" s="23"/>
      <c r="AH468" s="23"/>
      <c r="AI468" s="23"/>
      <c r="AJ468" s="23"/>
      <c r="AK468" s="23"/>
      <c r="AL468" s="23"/>
      <c r="AM468" s="23"/>
      <c r="AN468" s="23"/>
    </row>
    <row r="469" spans="13:40" x14ac:dyDescent="0.2">
      <c r="M469" s="23"/>
      <c r="N469" s="949"/>
      <c r="O469" s="23"/>
      <c r="R469" s="23"/>
      <c r="S469" s="949"/>
      <c r="T469" s="23"/>
      <c r="U469" s="23"/>
      <c r="V469" s="23"/>
      <c r="W469" s="23"/>
      <c r="X469" s="23"/>
      <c r="Y469" s="23"/>
      <c r="Z469" s="23"/>
      <c r="AA469" s="23"/>
      <c r="AB469" s="23"/>
      <c r="AC469" s="23"/>
      <c r="AD469" s="23"/>
      <c r="AE469" s="23"/>
      <c r="AF469" s="23"/>
      <c r="AG469" s="23"/>
      <c r="AH469" s="23"/>
      <c r="AI469" s="23"/>
      <c r="AJ469" s="23"/>
      <c r="AK469" s="23"/>
      <c r="AL469" s="23"/>
      <c r="AM469" s="23"/>
      <c r="AN469" s="23"/>
    </row>
    <row r="470" spans="13:40" x14ac:dyDescent="0.2">
      <c r="M470" s="23"/>
      <c r="N470" s="949"/>
      <c r="O470" s="23"/>
      <c r="R470" s="23"/>
      <c r="S470" s="949"/>
      <c r="T470" s="23"/>
      <c r="U470" s="23"/>
      <c r="V470" s="23"/>
      <c r="W470" s="23"/>
      <c r="X470" s="23"/>
      <c r="Y470" s="23"/>
      <c r="Z470" s="23"/>
      <c r="AA470" s="23"/>
      <c r="AB470" s="23"/>
      <c r="AC470" s="23"/>
      <c r="AD470" s="23"/>
      <c r="AE470" s="23"/>
      <c r="AF470" s="23"/>
      <c r="AG470" s="23"/>
      <c r="AH470" s="23"/>
      <c r="AI470" s="23"/>
      <c r="AJ470" s="23"/>
      <c r="AK470" s="23"/>
      <c r="AL470" s="23"/>
      <c r="AM470" s="23"/>
      <c r="AN470" s="23"/>
    </row>
    <row r="471" spans="13:40" x14ac:dyDescent="0.2">
      <c r="M471" s="23"/>
      <c r="N471" s="949"/>
      <c r="O471" s="23"/>
      <c r="R471" s="23"/>
      <c r="S471" s="949"/>
      <c r="T471" s="23"/>
      <c r="U471" s="23"/>
      <c r="V471" s="23"/>
      <c r="W471" s="23"/>
      <c r="X471" s="23"/>
      <c r="Y471" s="23"/>
      <c r="Z471" s="23"/>
      <c r="AA471" s="23"/>
      <c r="AB471" s="23"/>
      <c r="AC471" s="23"/>
      <c r="AD471" s="23"/>
      <c r="AE471" s="23"/>
      <c r="AF471" s="23"/>
      <c r="AG471" s="23"/>
      <c r="AH471" s="23"/>
      <c r="AI471" s="23"/>
      <c r="AJ471" s="23"/>
      <c r="AK471" s="23"/>
      <c r="AL471" s="23"/>
      <c r="AM471" s="23"/>
      <c r="AN471" s="23"/>
    </row>
    <row r="472" spans="13:40" x14ac:dyDescent="0.2">
      <c r="M472" s="23"/>
      <c r="N472" s="949"/>
      <c r="O472" s="23"/>
      <c r="R472" s="23"/>
      <c r="S472" s="949"/>
      <c r="T472" s="23"/>
      <c r="U472" s="23"/>
      <c r="V472" s="23"/>
      <c r="W472" s="23"/>
      <c r="X472" s="23"/>
      <c r="Y472" s="23"/>
      <c r="Z472" s="23"/>
      <c r="AA472" s="23"/>
      <c r="AB472" s="23"/>
      <c r="AC472" s="23"/>
      <c r="AD472" s="23"/>
      <c r="AE472" s="23"/>
      <c r="AF472" s="23"/>
      <c r="AG472" s="23"/>
      <c r="AH472" s="23"/>
      <c r="AI472" s="23"/>
      <c r="AJ472" s="23"/>
      <c r="AK472" s="23"/>
      <c r="AL472" s="23"/>
      <c r="AM472" s="23"/>
      <c r="AN472" s="23"/>
    </row>
    <row r="473" spans="13:40" x14ac:dyDescent="0.2">
      <c r="M473" s="23"/>
      <c r="N473" s="949"/>
      <c r="O473" s="23"/>
      <c r="R473" s="23"/>
      <c r="S473" s="949"/>
      <c r="T473" s="23"/>
      <c r="U473" s="23"/>
      <c r="V473" s="23"/>
      <c r="W473" s="23"/>
      <c r="X473" s="23"/>
      <c r="Y473" s="23"/>
      <c r="Z473" s="23"/>
      <c r="AA473" s="23"/>
      <c r="AB473" s="23"/>
      <c r="AC473" s="23"/>
      <c r="AD473" s="23"/>
      <c r="AE473" s="23"/>
      <c r="AF473" s="23"/>
      <c r="AG473" s="23"/>
      <c r="AH473" s="23"/>
      <c r="AI473" s="23"/>
      <c r="AJ473" s="23"/>
      <c r="AK473" s="23"/>
      <c r="AL473" s="23"/>
      <c r="AM473" s="23"/>
      <c r="AN473" s="23"/>
    </row>
    <row r="474" spans="13:40" x14ac:dyDescent="0.2">
      <c r="M474" s="23"/>
      <c r="N474" s="949"/>
      <c r="O474" s="23"/>
      <c r="R474" s="23"/>
      <c r="S474" s="949"/>
      <c r="T474" s="23"/>
      <c r="U474" s="23"/>
      <c r="V474" s="23"/>
      <c r="W474" s="23"/>
      <c r="X474" s="23"/>
      <c r="Y474" s="23"/>
      <c r="Z474" s="23"/>
      <c r="AA474" s="23"/>
      <c r="AB474" s="23"/>
      <c r="AC474" s="23"/>
      <c r="AD474" s="23"/>
      <c r="AE474" s="23"/>
      <c r="AF474" s="23"/>
      <c r="AG474" s="23"/>
      <c r="AH474" s="23"/>
      <c r="AI474" s="23"/>
      <c r="AJ474" s="23"/>
      <c r="AK474" s="23"/>
      <c r="AL474" s="23"/>
      <c r="AM474" s="23"/>
      <c r="AN474" s="23"/>
    </row>
    <row r="475" spans="13:40" x14ac:dyDescent="0.2">
      <c r="M475" s="23"/>
      <c r="N475" s="949"/>
      <c r="O475" s="23"/>
      <c r="R475" s="23"/>
      <c r="S475" s="949"/>
      <c r="T475" s="23"/>
      <c r="U475" s="23"/>
      <c r="V475" s="23"/>
      <c r="W475" s="23"/>
      <c r="X475" s="23"/>
      <c r="Y475" s="23"/>
      <c r="Z475" s="23"/>
      <c r="AA475" s="23"/>
      <c r="AB475" s="23"/>
      <c r="AC475" s="23"/>
      <c r="AD475" s="23"/>
      <c r="AE475" s="23"/>
      <c r="AF475" s="23"/>
      <c r="AG475" s="23"/>
      <c r="AH475" s="23"/>
      <c r="AI475" s="23"/>
      <c r="AJ475" s="23"/>
      <c r="AK475" s="23"/>
      <c r="AL475" s="23"/>
      <c r="AM475" s="23"/>
      <c r="AN475" s="23"/>
    </row>
    <row r="476" spans="13:40" x14ac:dyDescent="0.2">
      <c r="M476" s="23"/>
      <c r="N476" s="949"/>
      <c r="O476" s="23"/>
      <c r="R476" s="23"/>
      <c r="S476" s="949"/>
      <c r="T476" s="23"/>
      <c r="U476" s="23"/>
      <c r="V476" s="23"/>
      <c r="W476" s="23"/>
      <c r="X476" s="23"/>
      <c r="Y476" s="23"/>
      <c r="Z476" s="23"/>
      <c r="AA476" s="23"/>
      <c r="AB476" s="23"/>
      <c r="AC476" s="23"/>
      <c r="AD476" s="23"/>
      <c r="AE476" s="23"/>
      <c r="AF476" s="23"/>
      <c r="AG476" s="23"/>
      <c r="AH476" s="23"/>
      <c r="AI476" s="23"/>
      <c r="AJ476" s="23"/>
      <c r="AK476" s="23"/>
      <c r="AL476" s="23"/>
      <c r="AM476" s="23"/>
      <c r="AN476" s="23"/>
    </row>
    <row r="477" spans="13:40" x14ac:dyDescent="0.2">
      <c r="M477" s="23"/>
      <c r="N477" s="949"/>
      <c r="O477" s="23"/>
      <c r="R477" s="23"/>
      <c r="S477" s="949"/>
      <c r="T477" s="23"/>
      <c r="U477" s="23"/>
      <c r="V477" s="23"/>
      <c r="W477" s="23"/>
      <c r="X477" s="23"/>
      <c r="Y477" s="23"/>
      <c r="Z477" s="23"/>
      <c r="AA477" s="23"/>
      <c r="AB477" s="23"/>
      <c r="AC477" s="23"/>
      <c r="AD477" s="23"/>
      <c r="AE477" s="23"/>
      <c r="AF477" s="23"/>
      <c r="AG477" s="23"/>
      <c r="AH477" s="23"/>
      <c r="AI477" s="23"/>
      <c r="AJ477" s="23"/>
      <c r="AK477" s="23"/>
      <c r="AL477" s="23"/>
      <c r="AM477" s="23"/>
      <c r="AN477" s="23"/>
    </row>
    <row r="478" spans="13:40" x14ac:dyDescent="0.2">
      <c r="M478" s="23"/>
      <c r="N478" s="949"/>
      <c r="O478" s="23"/>
      <c r="R478" s="23"/>
      <c r="S478" s="949"/>
      <c r="T478" s="23"/>
      <c r="U478" s="23"/>
      <c r="V478" s="23"/>
      <c r="W478" s="23"/>
      <c r="X478" s="23"/>
      <c r="Y478" s="23"/>
      <c r="Z478" s="23"/>
      <c r="AA478" s="23"/>
      <c r="AB478" s="23"/>
      <c r="AC478" s="23"/>
      <c r="AD478" s="23"/>
      <c r="AE478" s="23"/>
      <c r="AF478" s="23"/>
      <c r="AG478" s="23"/>
      <c r="AH478" s="23"/>
      <c r="AI478" s="23"/>
      <c r="AJ478" s="23"/>
      <c r="AK478" s="23"/>
      <c r="AL478" s="23"/>
      <c r="AM478" s="23"/>
      <c r="AN478" s="23"/>
    </row>
    <row r="479" spans="13:40" x14ac:dyDescent="0.2">
      <c r="M479" s="23"/>
      <c r="N479" s="949"/>
      <c r="O479" s="23"/>
      <c r="R479" s="23"/>
      <c r="S479" s="949"/>
      <c r="T479" s="23"/>
      <c r="U479" s="23"/>
      <c r="V479" s="23"/>
      <c r="W479" s="23"/>
      <c r="X479" s="23"/>
      <c r="Y479" s="23"/>
      <c r="Z479" s="23"/>
      <c r="AA479" s="23"/>
      <c r="AB479" s="23"/>
      <c r="AC479" s="23"/>
      <c r="AD479" s="23"/>
      <c r="AE479" s="23"/>
      <c r="AF479" s="23"/>
      <c r="AG479" s="23"/>
      <c r="AH479" s="23"/>
      <c r="AI479" s="23"/>
      <c r="AJ479" s="23"/>
      <c r="AK479" s="23"/>
      <c r="AL479" s="23"/>
      <c r="AM479" s="23"/>
      <c r="AN479" s="23"/>
    </row>
    <row r="480" spans="13:40" x14ac:dyDescent="0.2">
      <c r="M480" s="23"/>
      <c r="N480" s="949"/>
      <c r="O480" s="23"/>
      <c r="R480" s="23"/>
      <c r="S480" s="949"/>
      <c r="T480" s="23"/>
      <c r="U480" s="23"/>
      <c r="V480" s="23"/>
      <c r="W480" s="23"/>
      <c r="X480" s="23"/>
      <c r="Y480" s="23"/>
      <c r="Z480" s="23"/>
      <c r="AA480" s="23"/>
      <c r="AB480" s="23"/>
      <c r="AC480" s="23"/>
      <c r="AD480" s="23"/>
      <c r="AE480" s="23"/>
      <c r="AF480" s="23"/>
      <c r="AG480" s="23"/>
      <c r="AH480" s="23"/>
      <c r="AI480" s="23"/>
      <c r="AJ480" s="23"/>
      <c r="AK480" s="23"/>
      <c r="AL480" s="23"/>
      <c r="AM480" s="23"/>
      <c r="AN480" s="23"/>
    </row>
    <row r="481" spans="13:40" x14ac:dyDescent="0.2">
      <c r="M481" s="23"/>
      <c r="N481" s="949"/>
      <c r="O481" s="23"/>
      <c r="R481" s="23"/>
      <c r="S481" s="949"/>
      <c r="T481" s="23"/>
      <c r="U481" s="23"/>
      <c r="V481" s="23"/>
      <c r="W481" s="23"/>
      <c r="X481" s="23"/>
      <c r="Y481" s="23"/>
      <c r="Z481" s="23"/>
      <c r="AA481" s="23"/>
      <c r="AB481" s="23"/>
      <c r="AC481" s="23"/>
      <c r="AD481" s="23"/>
      <c r="AE481" s="23"/>
      <c r="AF481" s="23"/>
      <c r="AG481" s="23"/>
      <c r="AH481" s="23"/>
      <c r="AI481" s="23"/>
      <c r="AJ481" s="23"/>
      <c r="AK481" s="23"/>
      <c r="AL481" s="23"/>
      <c r="AM481" s="23"/>
      <c r="AN481" s="23"/>
    </row>
    <row r="482" spans="13:40" x14ac:dyDescent="0.2">
      <c r="M482" s="23"/>
      <c r="N482" s="949"/>
      <c r="O482" s="23"/>
      <c r="R482" s="23"/>
      <c r="S482" s="949"/>
      <c r="T482" s="23"/>
      <c r="U482" s="23"/>
      <c r="V482" s="23"/>
      <c r="W482" s="23"/>
      <c r="X482" s="23"/>
      <c r="Y482" s="23"/>
      <c r="Z482" s="23"/>
      <c r="AA482" s="23"/>
      <c r="AB482" s="23"/>
      <c r="AC482" s="23"/>
      <c r="AD482" s="23"/>
      <c r="AE482" s="23"/>
      <c r="AF482" s="23"/>
      <c r="AG482" s="23"/>
      <c r="AH482" s="23"/>
      <c r="AI482" s="23"/>
      <c r="AJ482" s="23"/>
      <c r="AK482" s="23"/>
      <c r="AL482" s="23"/>
      <c r="AM482" s="23"/>
      <c r="AN482" s="23"/>
    </row>
    <row r="483" spans="13:40" x14ac:dyDescent="0.2">
      <c r="M483" s="23"/>
      <c r="N483" s="949"/>
      <c r="O483" s="23"/>
      <c r="R483" s="23"/>
      <c r="S483" s="949"/>
      <c r="T483" s="23"/>
      <c r="U483" s="23"/>
      <c r="V483" s="23"/>
      <c r="W483" s="23"/>
      <c r="X483" s="23"/>
      <c r="Y483" s="23"/>
      <c r="Z483" s="23"/>
      <c r="AA483" s="23"/>
      <c r="AB483" s="23"/>
      <c r="AC483" s="23"/>
      <c r="AD483" s="23"/>
      <c r="AE483" s="23"/>
      <c r="AF483" s="23"/>
      <c r="AG483" s="23"/>
      <c r="AH483" s="23"/>
      <c r="AI483" s="23"/>
      <c r="AJ483" s="23"/>
      <c r="AK483" s="23"/>
      <c r="AL483" s="23"/>
      <c r="AM483" s="23"/>
      <c r="AN483" s="23"/>
    </row>
    <row r="484" spans="13:40" x14ac:dyDescent="0.2">
      <c r="M484" s="23"/>
      <c r="N484" s="949"/>
      <c r="O484" s="23"/>
      <c r="R484" s="23"/>
      <c r="S484" s="949"/>
      <c r="T484" s="23"/>
      <c r="U484" s="23"/>
      <c r="V484" s="23"/>
      <c r="W484" s="23"/>
      <c r="X484" s="23"/>
      <c r="Y484" s="23"/>
      <c r="Z484" s="23"/>
      <c r="AA484" s="23"/>
      <c r="AB484" s="23"/>
      <c r="AC484" s="23"/>
      <c r="AD484" s="23"/>
      <c r="AE484" s="23"/>
      <c r="AF484" s="23"/>
      <c r="AG484" s="23"/>
      <c r="AH484" s="23"/>
      <c r="AI484" s="23"/>
      <c r="AJ484" s="23"/>
      <c r="AK484" s="23"/>
      <c r="AL484" s="23"/>
      <c r="AM484" s="23"/>
      <c r="AN484" s="23"/>
    </row>
    <row r="485" spans="13:40" x14ac:dyDescent="0.2">
      <c r="M485" s="23"/>
      <c r="N485" s="949"/>
      <c r="O485" s="23"/>
      <c r="R485" s="23"/>
      <c r="S485" s="949"/>
      <c r="T485" s="23"/>
      <c r="U485" s="23"/>
      <c r="V485" s="23"/>
      <c r="W485" s="23"/>
      <c r="X485" s="23"/>
      <c r="Y485" s="23"/>
      <c r="Z485" s="23"/>
      <c r="AA485" s="23"/>
      <c r="AB485" s="23"/>
      <c r="AC485" s="23"/>
      <c r="AD485" s="23"/>
      <c r="AE485" s="23"/>
      <c r="AF485" s="23"/>
      <c r="AG485" s="23"/>
      <c r="AH485" s="23"/>
      <c r="AI485" s="23"/>
      <c r="AJ485" s="23"/>
      <c r="AK485" s="23"/>
      <c r="AL485" s="23"/>
      <c r="AM485" s="23"/>
      <c r="AN485" s="23"/>
    </row>
    <row r="486" spans="13:40" x14ac:dyDescent="0.2">
      <c r="M486" s="23"/>
      <c r="N486" s="949"/>
      <c r="O486" s="23"/>
      <c r="R486" s="23"/>
      <c r="S486" s="949"/>
      <c r="T486" s="23"/>
      <c r="U486" s="23"/>
      <c r="V486" s="23"/>
      <c r="W486" s="23"/>
      <c r="X486" s="23"/>
      <c r="Y486" s="23"/>
      <c r="Z486" s="23"/>
      <c r="AA486" s="23"/>
      <c r="AB486" s="23"/>
      <c r="AC486" s="23"/>
      <c r="AD486" s="23"/>
      <c r="AE486" s="23"/>
      <c r="AF486" s="23"/>
      <c r="AG486" s="23"/>
      <c r="AH486" s="23"/>
      <c r="AI486" s="23"/>
      <c r="AJ486" s="23"/>
      <c r="AK486" s="23"/>
      <c r="AL486" s="23"/>
      <c r="AM486" s="23"/>
      <c r="AN486" s="23"/>
    </row>
    <row r="487" spans="13:40" x14ac:dyDescent="0.2">
      <c r="M487" s="23"/>
      <c r="N487" s="949"/>
      <c r="O487" s="23"/>
      <c r="R487" s="23"/>
      <c r="S487" s="949"/>
      <c r="T487" s="23"/>
      <c r="U487" s="23"/>
      <c r="V487" s="23"/>
      <c r="W487" s="23"/>
      <c r="X487" s="23"/>
      <c r="Y487" s="23"/>
      <c r="Z487" s="23"/>
      <c r="AA487" s="23"/>
      <c r="AB487" s="23"/>
      <c r="AC487" s="23"/>
      <c r="AD487" s="23"/>
      <c r="AE487" s="23"/>
      <c r="AF487" s="23"/>
      <c r="AG487" s="23"/>
      <c r="AH487" s="23"/>
      <c r="AI487" s="23"/>
      <c r="AJ487" s="23"/>
      <c r="AK487" s="23"/>
      <c r="AL487" s="23"/>
      <c r="AM487" s="23"/>
      <c r="AN487" s="23"/>
    </row>
    <row r="488" spans="13:40" x14ac:dyDescent="0.2">
      <c r="M488" s="23"/>
      <c r="N488" s="949"/>
      <c r="O488" s="23"/>
      <c r="R488" s="23"/>
      <c r="S488" s="949"/>
      <c r="T488" s="23"/>
      <c r="U488" s="23"/>
      <c r="V488" s="23"/>
      <c r="W488" s="23"/>
      <c r="X488" s="23"/>
      <c r="Y488" s="23"/>
      <c r="Z488" s="23"/>
      <c r="AA488" s="23"/>
      <c r="AB488" s="23"/>
      <c r="AC488" s="23"/>
      <c r="AD488" s="23"/>
      <c r="AE488" s="23"/>
      <c r="AF488" s="23"/>
      <c r="AG488" s="23"/>
      <c r="AH488" s="23"/>
      <c r="AI488" s="23"/>
      <c r="AJ488" s="23"/>
      <c r="AK488" s="23"/>
      <c r="AL488" s="23"/>
      <c r="AM488" s="23"/>
      <c r="AN488" s="23"/>
    </row>
    <row r="489" spans="13:40" x14ac:dyDescent="0.2">
      <c r="M489" s="23"/>
      <c r="N489" s="949"/>
      <c r="O489" s="23"/>
      <c r="R489" s="23"/>
      <c r="S489" s="949"/>
      <c r="T489" s="23"/>
      <c r="U489" s="23"/>
      <c r="V489" s="23"/>
      <c r="W489" s="23"/>
      <c r="X489" s="23"/>
      <c r="Y489" s="23"/>
      <c r="Z489" s="23"/>
      <c r="AA489" s="23"/>
      <c r="AB489" s="23"/>
      <c r="AC489" s="23"/>
      <c r="AD489" s="23"/>
      <c r="AE489" s="23"/>
      <c r="AF489" s="23"/>
      <c r="AG489" s="23"/>
      <c r="AH489" s="23"/>
      <c r="AI489" s="23"/>
      <c r="AJ489" s="23"/>
      <c r="AK489" s="23"/>
      <c r="AL489" s="23"/>
      <c r="AM489" s="23"/>
      <c r="AN489" s="23"/>
    </row>
    <row r="490" spans="13:40" x14ac:dyDescent="0.2">
      <c r="M490" s="23"/>
      <c r="N490" s="949"/>
      <c r="O490" s="23"/>
      <c r="R490" s="23"/>
      <c r="S490" s="949"/>
      <c r="T490" s="23"/>
      <c r="U490" s="23"/>
      <c r="V490" s="23"/>
      <c r="W490" s="23"/>
      <c r="X490" s="23"/>
      <c r="Y490" s="23"/>
      <c r="Z490" s="23"/>
      <c r="AA490" s="23"/>
      <c r="AB490" s="23"/>
      <c r="AC490" s="23"/>
      <c r="AD490" s="23"/>
      <c r="AE490" s="23"/>
      <c r="AF490" s="23"/>
      <c r="AG490" s="23"/>
      <c r="AH490" s="23"/>
      <c r="AI490" s="23"/>
      <c r="AJ490" s="23"/>
      <c r="AK490" s="23"/>
      <c r="AL490" s="23"/>
      <c r="AM490" s="23"/>
      <c r="AN490" s="23"/>
    </row>
    <row r="491" spans="13:40" x14ac:dyDescent="0.2">
      <c r="M491" s="23"/>
      <c r="N491" s="949"/>
      <c r="O491" s="23"/>
      <c r="R491" s="23"/>
      <c r="S491" s="949"/>
      <c r="T491" s="23"/>
      <c r="U491" s="23"/>
      <c r="V491" s="23"/>
      <c r="W491" s="23"/>
      <c r="X491" s="23"/>
      <c r="Y491" s="23"/>
      <c r="Z491" s="23"/>
      <c r="AA491" s="23"/>
      <c r="AB491" s="23"/>
      <c r="AC491" s="23"/>
      <c r="AD491" s="23"/>
      <c r="AE491" s="23"/>
      <c r="AF491" s="23"/>
      <c r="AG491" s="23"/>
      <c r="AH491" s="23"/>
      <c r="AI491" s="23"/>
      <c r="AJ491" s="23"/>
      <c r="AK491" s="23"/>
      <c r="AL491" s="23"/>
      <c r="AM491" s="23"/>
      <c r="AN491" s="23"/>
    </row>
    <row r="492" spans="13:40" x14ac:dyDescent="0.2">
      <c r="M492" s="23"/>
      <c r="N492" s="949"/>
      <c r="O492" s="23"/>
      <c r="R492" s="23"/>
      <c r="S492" s="949"/>
      <c r="T492" s="23"/>
      <c r="U492" s="23"/>
      <c r="V492" s="23"/>
      <c r="W492" s="23"/>
      <c r="X492" s="23"/>
      <c r="Y492" s="23"/>
      <c r="Z492" s="23"/>
      <c r="AA492" s="23"/>
      <c r="AB492" s="23"/>
      <c r="AC492" s="23"/>
      <c r="AD492" s="23"/>
      <c r="AE492" s="23"/>
      <c r="AF492" s="23"/>
      <c r="AG492" s="23"/>
      <c r="AH492" s="23"/>
      <c r="AI492" s="23"/>
      <c r="AJ492" s="23"/>
      <c r="AK492" s="23"/>
      <c r="AL492" s="23"/>
      <c r="AM492" s="23"/>
      <c r="AN492" s="23"/>
    </row>
    <row r="493" spans="13:40" x14ac:dyDescent="0.2">
      <c r="M493" s="23"/>
      <c r="N493" s="949"/>
      <c r="O493" s="23"/>
      <c r="R493" s="23"/>
      <c r="S493" s="949"/>
      <c r="T493" s="23"/>
      <c r="U493" s="23"/>
      <c r="V493" s="23"/>
      <c r="W493" s="23"/>
      <c r="X493" s="23"/>
      <c r="Y493" s="23"/>
      <c r="Z493" s="23"/>
      <c r="AA493" s="23"/>
      <c r="AB493" s="23"/>
      <c r="AC493" s="23"/>
      <c r="AD493" s="23"/>
      <c r="AE493" s="23"/>
      <c r="AF493" s="23"/>
      <c r="AG493" s="23"/>
      <c r="AH493" s="23"/>
      <c r="AI493" s="23"/>
      <c r="AJ493" s="23"/>
      <c r="AK493" s="23"/>
      <c r="AL493" s="23"/>
      <c r="AM493" s="23"/>
      <c r="AN493" s="23"/>
    </row>
    <row r="494" spans="13:40" x14ac:dyDescent="0.2">
      <c r="M494" s="23"/>
      <c r="N494" s="949"/>
      <c r="O494" s="23"/>
      <c r="R494" s="23"/>
      <c r="S494" s="949"/>
      <c r="T494" s="23"/>
      <c r="U494" s="23"/>
      <c r="V494" s="23"/>
      <c r="W494" s="23"/>
      <c r="X494" s="23"/>
      <c r="Y494" s="23"/>
      <c r="Z494" s="23"/>
      <c r="AA494" s="23"/>
      <c r="AB494" s="23"/>
      <c r="AC494" s="23"/>
      <c r="AD494" s="23"/>
      <c r="AE494" s="23"/>
      <c r="AF494" s="23"/>
      <c r="AG494" s="23"/>
      <c r="AH494" s="23"/>
      <c r="AI494" s="23"/>
      <c r="AJ494" s="23"/>
      <c r="AK494" s="23"/>
      <c r="AL494" s="23"/>
      <c r="AM494" s="23"/>
      <c r="AN494" s="23"/>
    </row>
    <row r="495" spans="13:40" x14ac:dyDescent="0.2">
      <c r="M495" s="23"/>
      <c r="N495" s="949"/>
      <c r="O495" s="23"/>
      <c r="R495" s="23"/>
      <c r="S495" s="949"/>
      <c r="T495" s="23"/>
      <c r="U495" s="23"/>
      <c r="V495" s="23"/>
      <c r="W495" s="23"/>
      <c r="X495" s="23"/>
      <c r="Y495" s="23"/>
      <c r="Z495" s="23"/>
      <c r="AA495" s="23"/>
      <c r="AB495" s="23"/>
      <c r="AC495" s="23"/>
      <c r="AD495" s="23"/>
      <c r="AE495" s="23"/>
      <c r="AF495" s="23"/>
      <c r="AG495" s="23"/>
      <c r="AH495" s="23"/>
      <c r="AI495" s="23"/>
      <c r="AJ495" s="23"/>
      <c r="AK495" s="23"/>
      <c r="AL495" s="23"/>
      <c r="AM495" s="23"/>
      <c r="AN495" s="23"/>
    </row>
    <row r="496" spans="13:40" x14ac:dyDescent="0.2">
      <c r="M496" s="23"/>
      <c r="N496" s="949"/>
      <c r="O496" s="23"/>
      <c r="R496" s="23"/>
      <c r="S496" s="949"/>
      <c r="T496" s="23"/>
      <c r="U496" s="23"/>
      <c r="V496" s="23"/>
      <c r="W496" s="23"/>
      <c r="X496" s="23"/>
      <c r="Y496" s="23"/>
      <c r="Z496" s="23"/>
      <c r="AA496" s="23"/>
      <c r="AB496" s="23"/>
      <c r="AC496" s="23"/>
      <c r="AD496" s="23"/>
      <c r="AE496" s="23"/>
      <c r="AF496" s="23"/>
      <c r="AG496" s="23"/>
      <c r="AH496" s="23"/>
      <c r="AI496" s="23"/>
      <c r="AJ496" s="23"/>
      <c r="AK496" s="23"/>
      <c r="AL496" s="23"/>
      <c r="AM496" s="23"/>
      <c r="AN496" s="23"/>
    </row>
    <row r="497" spans="13:40" x14ac:dyDescent="0.2">
      <c r="M497" s="23"/>
      <c r="N497" s="949"/>
      <c r="O497" s="23"/>
      <c r="R497" s="23"/>
      <c r="S497" s="949"/>
      <c r="T497" s="23"/>
      <c r="U497" s="23"/>
      <c r="V497" s="23"/>
      <c r="W497" s="23"/>
      <c r="X497" s="23"/>
      <c r="Y497" s="23"/>
      <c r="Z497" s="23"/>
      <c r="AA497" s="23"/>
      <c r="AB497" s="23"/>
      <c r="AC497" s="23"/>
      <c r="AD497" s="23"/>
      <c r="AE497" s="23"/>
      <c r="AF497" s="23"/>
      <c r="AG497" s="23"/>
      <c r="AH497" s="23"/>
      <c r="AI497" s="23"/>
      <c r="AJ497" s="23"/>
      <c r="AK497" s="23"/>
      <c r="AL497" s="23"/>
      <c r="AM497" s="23"/>
      <c r="AN497" s="23"/>
    </row>
    <row r="498" spans="13:40" x14ac:dyDescent="0.2">
      <c r="M498" s="23"/>
      <c r="N498" s="949"/>
      <c r="O498" s="23"/>
      <c r="R498" s="23"/>
      <c r="S498" s="949"/>
      <c r="T498" s="23"/>
      <c r="U498" s="23"/>
      <c r="V498" s="23"/>
      <c r="W498" s="23"/>
      <c r="X498" s="23"/>
      <c r="Y498" s="23"/>
      <c r="Z498" s="23"/>
      <c r="AA498" s="23"/>
      <c r="AB498" s="23"/>
      <c r="AC498" s="23"/>
      <c r="AD498" s="23"/>
      <c r="AE498" s="23"/>
      <c r="AF498" s="23"/>
      <c r="AG498" s="23"/>
      <c r="AH498" s="23"/>
      <c r="AI498" s="23"/>
      <c r="AJ498" s="23"/>
      <c r="AK498" s="23"/>
      <c r="AL498" s="23"/>
      <c r="AM498" s="23"/>
      <c r="AN498" s="23"/>
    </row>
    <row r="499" spans="13:40" x14ac:dyDescent="0.2">
      <c r="M499" s="23"/>
      <c r="N499" s="949"/>
      <c r="O499" s="23"/>
      <c r="R499" s="23"/>
      <c r="S499" s="949"/>
      <c r="T499" s="23"/>
      <c r="U499" s="23"/>
      <c r="V499" s="23"/>
      <c r="W499" s="23"/>
      <c r="X499" s="23"/>
      <c r="Y499" s="23"/>
      <c r="Z499" s="23"/>
      <c r="AA499" s="23"/>
      <c r="AB499" s="23"/>
      <c r="AC499" s="23"/>
      <c r="AD499" s="23"/>
      <c r="AE499" s="23"/>
      <c r="AF499" s="23"/>
      <c r="AG499" s="23"/>
      <c r="AH499" s="23"/>
      <c r="AI499" s="23"/>
      <c r="AJ499" s="23"/>
      <c r="AK499" s="23"/>
      <c r="AL499" s="23"/>
      <c r="AM499" s="23"/>
      <c r="AN499" s="23"/>
    </row>
    <row r="500" spans="13:40" x14ac:dyDescent="0.2">
      <c r="M500" s="23"/>
      <c r="N500" s="949"/>
      <c r="O500" s="23"/>
      <c r="R500" s="23"/>
      <c r="S500" s="949"/>
      <c r="T500" s="23"/>
      <c r="U500" s="23"/>
      <c r="V500" s="23"/>
      <c r="W500" s="23"/>
      <c r="X500" s="23"/>
      <c r="Y500" s="23"/>
      <c r="Z500" s="23"/>
      <c r="AA500" s="23"/>
      <c r="AB500" s="23"/>
      <c r="AC500" s="23"/>
      <c r="AD500" s="23"/>
      <c r="AE500" s="23"/>
      <c r="AF500" s="23"/>
      <c r="AG500" s="23"/>
      <c r="AH500" s="23"/>
      <c r="AI500" s="23"/>
      <c r="AJ500" s="23"/>
      <c r="AK500" s="23"/>
      <c r="AL500" s="23"/>
      <c r="AM500" s="23"/>
      <c r="AN500" s="23"/>
    </row>
    <row r="501" spans="13:40" x14ac:dyDescent="0.2">
      <c r="M501" s="23"/>
      <c r="N501" s="949"/>
      <c r="O501" s="23"/>
      <c r="R501" s="23"/>
      <c r="S501" s="949"/>
      <c r="T501" s="23"/>
      <c r="U501" s="23"/>
      <c r="V501" s="23"/>
      <c r="W501" s="23"/>
      <c r="X501" s="23"/>
      <c r="Y501" s="23"/>
      <c r="Z501" s="23"/>
      <c r="AA501" s="23"/>
      <c r="AB501" s="23"/>
      <c r="AC501" s="23"/>
      <c r="AD501" s="23"/>
      <c r="AE501" s="23"/>
      <c r="AF501" s="23"/>
      <c r="AG501" s="23"/>
      <c r="AH501" s="23"/>
      <c r="AI501" s="23"/>
      <c r="AJ501" s="23"/>
      <c r="AK501" s="23"/>
      <c r="AL501" s="23"/>
      <c r="AM501" s="23"/>
      <c r="AN501" s="23"/>
    </row>
    <row r="502" spans="13:40" x14ac:dyDescent="0.2">
      <c r="M502" s="23"/>
      <c r="N502" s="949"/>
      <c r="O502" s="23"/>
      <c r="R502" s="23"/>
      <c r="S502" s="949"/>
      <c r="T502" s="23"/>
      <c r="U502" s="23"/>
      <c r="V502" s="23"/>
      <c r="W502" s="23"/>
      <c r="X502" s="23"/>
      <c r="Y502" s="23"/>
      <c r="Z502" s="23"/>
      <c r="AA502" s="23"/>
      <c r="AB502" s="23"/>
      <c r="AC502" s="23"/>
      <c r="AD502" s="23"/>
      <c r="AE502" s="23"/>
      <c r="AF502" s="23"/>
      <c r="AG502" s="23"/>
      <c r="AH502" s="23"/>
      <c r="AI502" s="23"/>
      <c r="AJ502" s="23"/>
      <c r="AK502" s="23"/>
      <c r="AL502" s="23"/>
      <c r="AM502" s="23"/>
      <c r="AN502" s="23"/>
    </row>
    <row r="503" spans="13:40" x14ac:dyDescent="0.2">
      <c r="M503" s="23"/>
      <c r="N503" s="949"/>
      <c r="O503" s="23"/>
      <c r="R503" s="23"/>
      <c r="S503" s="949"/>
      <c r="T503" s="23"/>
      <c r="U503" s="23"/>
      <c r="V503" s="23"/>
      <c r="W503" s="23"/>
      <c r="X503" s="23"/>
      <c r="Y503" s="23"/>
      <c r="Z503" s="23"/>
      <c r="AA503" s="23"/>
      <c r="AB503" s="23"/>
      <c r="AC503" s="23"/>
      <c r="AD503" s="23"/>
      <c r="AE503" s="23"/>
      <c r="AF503" s="23"/>
      <c r="AG503" s="23"/>
      <c r="AH503" s="23"/>
      <c r="AI503" s="23"/>
      <c r="AJ503" s="23"/>
      <c r="AK503" s="23"/>
      <c r="AL503" s="23"/>
      <c r="AM503" s="23"/>
      <c r="AN503" s="23"/>
    </row>
    <row r="504" spans="13:40" x14ac:dyDescent="0.2">
      <c r="M504" s="23"/>
      <c r="N504" s="949"/>
      <c r="O504" s="23"/>
      <c r="R504" s="23"/>
      <c r="S504" s="949"/>
      <c r="T504" s="23"/>
      <c r="U504" s="23"/>
      <c r="V504" s="23"/>
      <c r="W504" s="23"/>
      <c r="X504" s="23"/>
      <c r="Y504" s="23"/>
      <c r="Z504" s="23"/>
      <c r="AA504" s="23"/>
      <c r="AB504" s="23"/>
      <c r="AC504" s="23"/>
      <c r="AD504" s="23"/>
      <c r="AE504" s="23"/>
      <c r="AF504" s="23"/>
      <c r="AG504" s="23"/>
      <c r="AH504" s="23"/>
      <c r="AI504" s="23"/>
      <c r="AJ504" s="23"/>
      <c r="AK504" s="23"/>
      <c r="AL504" s="23"/>
      <c r="AM504" s="23"/>
      <c r="AN504" s="23"/>
    </row>
    <row r="505" spans="13:40" x14ac:dyDescent="0.2">
      <c r="M505" s="23"/>
      <c r="N505" s="949"/>
      <c r="O505" s="23"/>
      <c r="R505" s="23"/>
      <c r="S505" s="949"/>
      <c r="T505" s="23"/>
      <c r="U505" s="23"/>
      <c r="V505" s="23"/>
      <c r="W505" s="23"/>
      <c r="X505" s="23"/>
      <c r="Y505" s="23"/>
      <c r="Z505" s="23"/>
      <c r="AA505" s="23"/>
      <c r="AB505" s="23"/>
      <c r="AC505" s="23"/>
      <c r="AD505" s="23"/>
      <c r="AE505" s="23"/>
      <c r="AF505" s="23"/>
      <c r="AG505" s="23"/>
      <c r="AH505" s="23"/>
      <c r="AI505" s="23"/>
      <c r="AJ505" s="23"/>
      <c r="AK505" s="23"/>
      <c r="AL505" s="23"/>
      <c r="AM505" s="23"/>
      <c r="AN505" s="23"/>
    </row>
    <row r="506" spans="13:40" x14ac:dyDescent="0.2">
      <c r="M506" s="23"/>
      <c r="N506" s="949"/>
      <c r="O506" s="23"/>
      <c r="R506" s="23"/>
      <c r="S506" s="949"/>
      <c r="T506" s="23"/>
      <c r="U506" s="23"/>
      <c r="V506" s="23"/>
      <c r="W506" s="23"/>
      <c r="X506" s="23"/>
      <c r="Y506" s="23"/>
      <c r="Z506" s="23"/>
      <c r="AA506" s="23"/>
      <c r="AB506" s="23"/>
      <c r="AC506" s="23"/>
      <c r="AD506" s="23"/>
      <c r="AE506" s="23"/>
      <c r="AF506" s="23"/>
      <c r="AG506" s="23"/>
      <c r="AH506" s="23"/>
      <c r="AI506" s="23"/>
      <c r="AJ506" s="23"/>
      <c r="AK506" s="23"/>
      <c r="AL506" s="23"/>
      <c r="AM506" s="23"/>
      <c r="AN506" s="23"/>
    </row>
    <row r="507" spans="13:40" x14ac:dyDescent="0.2">
      <c r="M507" s="23"/>
      <c r="N507" s="949"/>
      <c r="O507" s="23"/>
      <c r="R507" s="23"/>
      <c r="S507" s="949"/>
      <c r="T507" s="23"/>
      <c r="U507" s="23"/>
      <c r="V507" s="23"/>
      <c r="W507" s="23"/>
      <c r="X507" s="23"/>
      <c r="Y507" s="23"/>
      <c r="Z507" s="23"/>
      <c r="AA507" s="23"/>
      <c r="AB507" s="23"/>
      <c r="AC507" s="23"/>
      <c r="AD507" s="23"/>
      <c r="AE507" s="23"/>
      <c r="AF507" s="23"/>
      <c r="AG507" s="23"/>
      <c r="AH507" s="23"/>
      <c r="AI507" s="23"/>
      <c r="AJ507" s="23"/>
      <c r="AK507" s="23"/>
      <c r="AL507" s="23"/>
      <c r="AM507" s="23"/>
      <c r="AN507" s="23"/>
    </row>
    <row r="508" spans="13:40" x14ac:dyDescent="0.2">
      <c r="M508" s="23"/>
      <c r="N508" s="949"/>
      <c r="O508" s="23"/>
      <c r="R508" s="23"/>
      <c r="S508" s="949"/>
      <c r="T508" s="23"/>
      <c r="U508" s="23"/>
      <c r="V508" s="23"/>
      <c r="W508" s="23"/>
      <c r="X508" s="23"/>
      <c r="Y508" s="23"/>
      <c r="Z508" s="23"/>
      <c r="AA508" s="23"/>
      <c r="AB508" s="23"/>
      <c r="AC508" s="23"/>
      <c r="AD508" s="23"/>
      <c r="AE508" s="23"/>
      <c r="AF508" s="23"/>
      <c r="AG508" s="23"/>
      <c r="AH508" s="23"/>
      <c r="AI508" s="23"/>
      <c r="AJ508" s="23"/>
      <c r="AK508" s="23"/>
      <c r="AL508" s="23"/>
      <c r="AM508" s="23"/>
      <c r="AN508" s="23"/>
    </row>
    <row r="509" spans="13:40" x14ac:dyDescent="0.2">
      <c r="M509" s="23"/>
      <c r="N509" s="949"/>
      <c r="O509" s="23"/>
      <c r="R509" s="23"/>
      <c r="S509" s="949"/>
      <c r="T509" s="23"/>
      <c r="U509" s="23"/>
      <c r="V509" s="23"/>
      <c r="W509" s="23"/>
      <c r="X509" s="23"/>
      <c r="Y509" s="23"/>
      <c r="Z509" s="23"/>
      <c r="AA509" s="23"/>
      <c r="AB509" s="23"/>
      <c r="AC509" s="23"/>
      <c r="AD509" s="23"/>
      <c r="AE509" s="23"/>
      <c r="AF509" s="23"/>
      <c r="AG509" s="23"/>
      <c r="AH509" s="23"/>
      <c r="AI509" s="23"/>
      <c r="AJ509" s="23"/>
      <c r="AK509" s="23"/>
      <c r="AL509" s="23"/>
      <c r="AM509" s="23"/>
      <c r="AN509" s="23"/>
    </row>
    <row r="510" spans="13:40" x14ac:dyDescent="0.2">
      <c r="M510" s="23"/>
      <c r="N510" s="949"/>
      <c r="O510" s="23"/>
      <c r="R510" s="23"/>
      <c r="S510" s="949"/>
      <c r="T510" s="23"/>
      <c r="U510" s="23"/>
      <c r="V510" s="23"/>
      <c r="W510" s="23"/>
      <c r="X510" s="23"/>
      <c r="Y510" s="23"/>
      <c r="Z510" s="23"/>
      <c r="AA510" s="23"/>
      <c r="AB510" s="23"/>
      <c r="AC510" s="23"/>
      <c r="AD510" s="23"/>
      <c r="AE510" s="23"/>
      <c r="AF510" s="23"/>
      <c r="AG510" s="23"/>
      <c r="AH510" s="23"/>
      <c r="AI510" s="23"/>
      <c r="AJ510" s="23"/>
      <c r="AK510" s="23"/>
      <c r="AL510" s="23"/>
      <c r="AM510" s="23"/>
      <c r="AN510" s="23"/>
    </row>
    <row r="511" spans="13:40" x14ac:dyDescent="0.2">
      <c r="M511" s="23"/>
      <c r="N511" s="949"/>
      <c r="O511" s="23"/>
      <c r="R511" s="23"/>
      <c r="S511" s="949"/>
      <c r="T511" s="23"/>
      <c r="U511" s="23"/>
      <c r="V511" s="23"/>
      <c r="W511" s="23"/>
      <c r="X511" s="23"/>
      <c r="Y511" s="23"/>
      <c r="Z511" s="23"/>
      <c r="AA511" s="23"/>
      <c r="AB511" s="23"/>
      <c r="AC511" s="23"/>
      <c r="AD511" s="23"/>
      <c r="AE511" s="23"/>
      <c r="AF511" s="23"/>
      <c r="AG511" s="23"/>
      <c r="AH511" s="23"/>
      <c r="AI511" s="23"/>
      <c r="AJ511" s="23"/>
      <c r="AK511" s="23"/>
      <c r="AL511" s="23"/>
      <c r="AM511" s="23"/>
      <c r="AN511" s="23"/>
    </row>
    <row r="512" spans="13:40" x14ac:dyDescent="0.2">
      <c r="M512" s="23"/>
      <c r="N512" s="949"/>
      <c r="O512" s="23"/>
      <c r="R512" s="23"/>
      <c r="S512" s="949"/>
      <c r="T512" s="23"/>
      <c r="U512" s="23"/>
      <c r="V512" s="23"/>
      <c r="W512" s="23"/>
      <c r="X512" s="23"/>
      <c r="Y512" s="23"/>
      <c r="Z512" s="23"/>
      <c r="AA512" s="23"/>
      <c r="AB512" s="23"/>
      <c r="AC512" s="23"/>
      <c r="AD512" s="23"/>
      <c r="AE512" s="23"/>
      <c r="AF512" s="23"/>
      <c r="AG512" s="23"/>
      <c r="AH512" s="23"/>
      <c r="AI512" s="23"/>
      <c r="AJ512" s="23"/>
      <c r="AK512" s="23"/>
      <c r="AL512" s="23"/>
      <c r="AM512" s="23"/>
      <c r="AN512" s="23"/>
    </row>
    <row r="513" spans="13:40" x14ac:dyDescent="0.2">
      <c r="M513" s="23"/>
      <c r="N513" s="949"/>
      <c r="O513" s="23"/>
      <c r="R513" s="23"/>
      <c r="S513" s="949"/>
      <c r="T513" s="23"/>
      <c r="U513" s="23"/>
      <c r="V513" s="23"/>
      <c r="W513" s="23"/>
      <c r="X513" s="23"/>
      <c r="Y513" s="23"/>
      <c r="Z513" s="23"/>
      <c r="AA513" s="23"/>
      <c r="AB513" s="23"/>
      <c r="AC513" s="23"/>
      <c r="AD513" s="23"/>
      <c r="AE513" s="23"/>
      <c r="AF513" s="23"/>
      <c r="AG513" s="23"/>
      <c r="AH513" s="23"/>
      <c r="AI513" s="23"/>
      <c r="AJ513" s="23"/>
      <c r="AK513" s="23"/>
      <c r="AL513" s="23"/>
      <c r="AM513" s="23"/>
      <c r="AN513" s="23"/>
    </row>
    <row r="514" spans="13:40" x14ac:dyDescent="0.2">
      <c r="M514" s="23"/>
      <c r="N514" s="949"/>
      <c r="O514" s="23"/>
      <c r="R514" s="23"/>
      <c r="S514" s="949"/>
      <c r="T514" s="23"/>
      <c r="U514" s="23"/>
      <c r="V514" s="23"/>
      <c r="W514" s="23"/>
      <c r="X514" s="23"/>
      <c r="Y514" s="23"/>
      <c r="Z514" s="23"/>
      <c r="AA514" s="23"/>
      <c r="AB514" s="23"/>
      <c r="AC514" s="23"/>
      <c r="AD514" s="23"/>
      <c r="AE514" s="23"/>
      <c r="AF514" s="23"/>
      <c r="AG514" s="23"/>
      <c r="AH514" s="23"/>
      <c r="AI514" s="23"/>
      <c r="AJ514" s="23"/>
      <c r="AK514" s="23"/>
      <c r="AL514" s="23"/>
      <c r="AM514" s="23"/>
      <c r="AN514" s="23"/>
    </row>
    <row r="515" spans="13:40" x14ac:dyDescent="0.2">
      <c r="M515" s="23"/>
      <c r="N515" s="949"/>
      <c r="O515" s="23"/>
      <c r="R515" s="23"/>
      <c r="S515" s="949"/>
      <c r="T515" s="23"/>
      <c r="U515" s="23"/>
      <c r="V515" s="23"/>
      <c r="W515" s="23"/>
      <c r="X515" s="23"/>
      <c r="Y515" s="23"/>
      <c r="Z515" s="23"/>
      <c r="AA515" s="23"/>
      <c r="AB515" s="23"/>
      <c r="AC515" s="23"/>
      <c r="AD515" s="23"/>
      <c r="AE515" s="23"/>
      <c r="AF515" s="23"/>
      <c r="AG515" s="23"/>
      <c r="AH515" s="23"/>
      <c r="AI515" s="23"/>
      <c r="AJ515" s="23"/>
      <c r="AK515" s="23"/>
      <c r="AL515" s="23"/>
      <c r="AM515" s="23"/>
      <c r="AN515" s="23"/>
    </row>
    <row r="516" spans="13:40" x14ac:dyDescent="0.2">
      <c r="M516" s="23"/>
      <c r="N516" s="949"/>
      <c r="O516" s="23"/>
      <c r="R516" s="23"/>
      <c r="S516" s="949"/>
      <c r="T516" s="23"/>
      <c r="U516" s="23"/>
      <c r="V516" s="23"/>
      <c r="W516" s="23"/>
      <c r="X516" s="23"/>
      <c r="Y516" s="23"/>
      <c r="Z516" s="23"/>
      <c r="AA516" s="23"/>
      <c r="AB516" s="23"/>
      <c r="AC516" s="23"/>
      <c r="AD516" s="23"/>
      <c r="AE516" s="23"/>
      <c r="AF516" s="23"/>
      <c r="AG516" s="23"/>
      <c r="AH516" s="23"/>
      <c r="AI516" s="23"/>
      <c r="AJ516" s="23"/>
      <c r="AK516" s="23"/>
      <c r="AL516" s="23"/>
      <c r="AM516" s="23"/>
      <c r="AN516" s="23"/>
    </row>
    <row r="517" spans="13:40" x14ac:dyDescent="0.2">
      <c r="M517" s="23"/>
      <c r="N517" s="949"/>
      <c r="O517" s="23"/>
      <c r="R517" s="23"/>
      <c r="S517" s="949"/>
      <c r="T517" s="23"/>
      <c r="U517" s="23"/>
      <c r="V517" s="23"/>
      <c r="W517" s="23"/>
      <c r="X517" s="23"/>
      <c r="Y517" s="23"/>
      <c r="Z517" s="23"/>
      <c r="AA517" s="23"/>
      <c r="AB517" s="23"/>
      <c r="AC517" s="23"/>
      <c r="AD517" s="23"/>
      <c r="AE517" s="23"/>
      <c r="AF517" s="23"/>
      <c r="AG517" s="23"/>
      <c r="AH517" s="23"/>
      <c r="AI517" s="23"/>
      <c r="AJ517" s="23"/>
      <c r="AK517" s="23"/>
      <c r="AL517" s="23"/>
      <c r="AM517" s="23"/>
      <c r="AN517" s="23"/>
    </row>
    <row r="518" spans="13:40" x14ac:dyDescent="0.2">
      <c r="M518" s="23"/>
      <c r="N518" s="949"/>
      <c r="O518" s="23"/>
      <c r="R518" s="23"/>
      <c r="S518" s="949"/>
      <c r="T518" s="23"/>
      <c r="U518" s="23"/>
      <c r="V518" s="23"/>
      <c r="W518" s="23"/>
      <c r="X518" s="23"/>
      <c r="Y518" s="23"/>
      <c r="Z518" s="23"/>
      <c r="AA518" s="23"/>
      <c r="AB518" s="23"/>
      <c r="AC518" s="23"/>
      <c r="AD518" s="23"/>
      <c r="AE518" s="23"/>
      <c r="AF518" s="23"/>
      <c r="AG518" s="23"/>
      <c r="AH518" s="23"/>
      <c r="AI518" s="23"/>
      <c r="AJ518" s="23"/>
      <c r="AK518" s="23"/>
      <c r="AL518" s="23"/>
      <c r="AM518" s="23"/>
      <c r="AN518" s="23"/>
    </row>
    <row r="519" spans="13:40" x14ac:dyDescent="0.2">
      <c r="M519" s="23"/>
      <c r="N519" s="949"/>
      <c r="O519" s="23"/>
      <c r="R519" s="23"/>
      <c r="S519" s="949"/>
      <c r="T519" s="23"/>
      <c r="U519" s="23"/>
      <c r="V519" s="23"/>
      <c r="W519" s="23"/>
      <c r="X519" s="23"/>
      <c r="Y519" s="23"/>
      <c r="Z519" s="23"/>
      <c r="AA519" s="23"/>
      <c r="AB519" s="23"/>
      <c r="AC519" s="23"/>
      <c r="AD519" s="23"/>
      <c r="AE519" s="23"/>
      <c r="AF519" s="23"/>
      <c r="AG519" s="23"/>
      <c r="AH519" s="23"/>
      <c r="AI519" s="23"/>
      <c r="AJ519" s="23"/>
      <c r="AK519" s="23"/>
      <c r="AL519" s="23"/>
      <c r="AM519" s="23"/>
      <c r="AN519" s="23"/>
    </row>
    <row r="520" spans="13:40" x14ac:dyDescent="0.2">
      <c r="M520" s="23"/>
      <c r="N520" s="949"/>
      <c r="O520" s="23"/>
      <c r="R520" s="23"/>
      <c r="S520" s="949"/>
      <c r="T520" s="23"/>
      <c r="U520" s="23"/>
      <c r="V520" s="23"/>
      <c r="W520" s="23"/>
      <c r="X520" s="23"/>
      <c r="Y520" s="23"/>
      <c r="Z520" s="23"/>
      <c r="AA520" s="23"/>
      <c r="AB520" s="23"/>
      <c r="AC520" s="23"/>
      <c r="AD520" s="23"/>
      <c r="AE520" s="23"/>
      <c r="AF520" s="23"/>
      <c r="AG520" s="23"/>
      <c r="AH520" s="23"/>
      <c r="AI520" s="23"/>
      <c r="AJ520" s="23"/>
      <c r="AK520" s="23"/>
      <c r="AL520" s="23"/>
      <c r="AM520" s="23"/>
      <c r="AN520" s="23"/>
    </row>
    <row r="521" spans="13:40" x14ac:dyDescent="0.2">
      <c r="M521" s="23"/>
      <c r="N521" s="949"/>
      <c r="O521" s="23"/>
      <c r="R521" s="23"/>
      <c r="S521" s="949"/>
      <c r="T521" s="23"/>
      <c r="U521" s="23"/>
      <c r="V521" s="23"/>
      <c r="W521" s="23"/>
      <c r="X521" s="23"/>
      <c r="Y521" s="23"/>
      <c r="Z521" s="23"/>
      <c r="AA521" s="23"/>
      <c r="AB521" s="23"/>
      <c r="AC521" s="23"/>
      <c r="AD521" s="23"/>
      <c r="AE521" s="23"/>
      <c r="AF521" s="23"/>
      <c r="AG521" s="23"/>
      <c r="AH521" s="23"/>
      <c r="AI521" s="23"/>
      <c r="AJ521" s="23"/>
      <c r="AK521" s="23"/>
      <c r="AL521" s="23"/>
      <c r="AM521" s="23"/>
      <c r="AN521" s="23"/>
    </row>
    <row r="522" spans="13:40" x14ac:dyDescent="0.2">
      <c r="M522" s="23"/>
      <c r="N522" s="949"/>
      <c r="O522" s="23"/>
      <c r="R522" s="23"/>
      <c r="S522" s="949"/>
      <c r="T522" s="23"/>
      <c r="U522" s="23"/>
      <c r="V522" s="23"/>
      <c r="W522" s="23"/>
      <c r="X522" s="23"/>
      <c r="Y522" s="23"/>
      <c r="Z522" s="23"/>
      <c r="AA522" s="23"/>
      <c r="AB522" s="23"/>
      <c r="AC522" s="23"/>
      <c r="AD522" s="23"/>
      <c r="AE522" s="23"/>
      <c r="AF522" s="23"/>
      <c r="AG522" s="23"/>
      <c r="AH522" s="23"/>
      <c r="AI522" s="23"/>
      <c r="AJ522" s="23"/>
      <c r="AK522" s="23"/>
      <c r="AL522" s="23"/>
      <c r="AM522" s="23"/>
      <c r="AN522" s="23"/>
    </row>
    <row r="523" spans="13:40" x14ac:dyDescent="0.2">
      <c r="M523" s="23"/>
      <c r="N523" s="949"/>
      <c r="O523" s="23"/>
      <c r="R523" s="23"/>
      <c r="S523" s="949"/>
      <c r="T523" s="23"/>
      <c r="U523" s="23"/>
      <c r="V523" s="23"/>
      <c r="W523" s="23"/>
      <c r="X523" s="23"/>
      <c r="Y523" s="23"/>
      <c r="Z523" s="23"/>
      <c r="AA523" s="23"/>
      <c r="AB523" s="23"/>
      <c r="AC523" s="23"/>
      <c r="AD523" s="23"/>
      <c r="AE523" s="23"/>
      <c r="AF523" s="23"/>
      <c r="AG523" s="23"/>
      <c r="AH523" s="23"/>
      <c r="AI523" s="23"/>
      <c r="AJ523" s="23"/>
      <c r="AK523" s="23"/>
      <c r="AL523" s="23"/>
      <c r="AM523" s="23"/>
      <c r="AN523" s="23"/>
    </row>
    <row r="524" spans="13:40" x14ac:dyDescent="0.2">
      <c r="M524" s="23"/>
      <c r="N524" s="949"/>
      <c r="O524" s="23"/>
      <c r="R524" s="23"/>
      <c r="S524" s="949"/>
      <c r="T524" s="23"/>
      <c r="U524" s="23"/>
      <c r="V524" s="23"/>
      <c r="W524" s="23"/>
      <c r="X524" s="23"/>
      <c r="Y524" s="23"/>
      <c r="Z524" s="23"/>
      <c r="AA524" s="23"/>
      <c r="AB524" s="23"/>
      <c r="AC524" s="23"/>
      <c r="AD524" s="23"/>
      <c r="AE524" s="23"/>
      <c r="AF524" s="23"/>
      <c r="AG524" s="23"/>
      <c r="AH524" s="23"/>
      <c r="AI524" s="23"/>
      <c r="AJ524" s="23"/>
      <c r="AK524" s="23"/>
      <c r="AL524" s="23"/>
      <c r="AM524" s="23"/>
      <c r="AN524" s="23"/>
    </row>
    <row r="525" spans="13:40" x14ac:dyDescent="0.2">
      <c r="M525" s="23"/>
      <c r="N525" s="949"/>
      <c r="O525" s="23"/>
      <c r="R525" s="23"/>
      <c r="S525" s="949"/>
      <c r="T525" s="23"/>
      <c r="U525" s="23"/>
      <c r="V525" s="23"/>
      <c r="W525" s="23"/>
      <c r="X525" s="23"/>
      <c r="Y525" s="23"/>
      <c r="Z525" s="23"/>
      <c r="AA525" s="23"/>
      <c r="AB525" s="23"/>
      <c r="AC525" s="23"/>
      <c r="AD525" s="23"/>
      <c r="AE525" s="23"/>
      <c r="AF525" s="23"/>
      <c r="AG525" s="23"/>
      <c r="AH525" s="23"/>
      <c r="AI525" s="23"/>
      <c r="AJ525" s="23"/>
      <c r="AK525" s="23"/>
      <c r="AL525" s="23"/>
      <c r="AM525" s="23"/>
      <c r="AN525" s="23"/>
    </row>
    <row r="526" spans="13:40" x14ac:dyDescent="0.2">
      <c r="M526" s="23"/>
      <c r="N526" s="949"/>
      <c r="O526" s="23"/>
      <c r="R526" s="23"/>
      <c r="S526" s="949"/>
      <c r="T526" s="23"/>
      <c r="U526" s="23"/>
      <c r="V526" s="23"/>
      <c r="W526" s="23"/>
      <c r="X526" s="23"/>
      <c r="Y526" s="23"/>
      <c r="Z526" s="23"/>
      <c r="AA526" s="23"/>
      <c r="AB526" s="23"/>
      <c r="AC526" s="23"/>
      <c r="AD526" s="23"/>
      <c r="AE526" s="23"/>
      <c r="AF526" s="23"/>
      <c r="AG526" s="23"/>
      <c r="AH526" s="23"/>
      <c r="AI526" s="23"/>
      <c r="AJ526" s="23"/>
      <c r="AK526" s="23"/>
      <c r="AL526" s="23"/>
      <c r="AM526" s="23"/>
      <c r="AN526" s="23"/>
    </row>
    <row r="527" spans="13:40" x14ac:dyDescent="0.2">
      <c r="M527" s="23"/>
      <c r="N527" s="949"/>
      <c r="O527" s="23"/>
      <c r="R527" s="23"/>
      <c r="S527" s="949"/>
      <c r="T527" s="23"/>
      <c r="U527" s="23"/>
      <c r="V527" s="23"/>
      <c r="W527" s="23"/>
      <c r="X527" s="23"/>
      <c r="Y527" s="23"/>
      <c r="Z527" s="23"/>
      <c r="AA527" s="23"/>
      <c r="AB527" s="23"/>
      <c r="AC527" s="23"/>
      <c r="AD527" s="23"/>
      <c r="AE527" s="23"/>
      <c r="AF527" s="23"/>
      <c r="AG527" s="23"/>
      <c r="AH527" s="23"/>
      <c r="AI527" s="23"/>
      <c r="AJ527" s="23"/>
      <c r="AK527" s="23"/>
      <c r="AL527" s="23"/>
      <c r="AM527" s="23"/>
      <c r="AN527" s="23"/>
    </row>
    <row r="528" spans="13:40" x14ac:dyDescent="0.2">
      <c r="M528" s="23"/>
      <c r="N528" s="949"/>
      <c r="O528" s="23"/>
      <c r="R528" s="23"/>
      <c r="S528" s="949"/>
      <c r="T528" s="23"/>
      <c r="U528" s="23"/>
      <c r="V528" s="23"/>
      <c r="W528" s="23"/>
      <c r="X528" s="23"/>
      <c r="Y528" s="23"/>
      <c r="Z528" s="23"/>
      <c r="AA528" s="23"/>
      <c r="AB528" s="23"/>
      <c r="AC528" s="23"/>
      <c r="AD528" s="23"/>
      <c r="AE528" s="23"/>
      <c r="AF528" s="23"/>
      <c r="AG528" s="23"/>
      <c r="AH528" s="23"/>
      <c r="AI528" s="23"/>
      <c r="AJ528" s="23"/>
      <c r="AK528" s="23"/>
      <c r="AL528" s="23"/>
      <c r="AM528" s="23"/>
      <c r="AN528" s="23"/>
    </row>
    <row r="529" spans="13:40" x14ac:dyDescent="0.2">
      <c r="M529" s="23"/>
      <c r="N529" s="949"/>
      <c r="O529" s="23"/>
      <c r="R529" s="23"/>
      <c r="S529" s="949"/>
      <c r="T529" s="23"/>
      <c r="U529" s="23"/>
      <c r="V529" s="23"/>
      <c r="W529" s="23"/>
      <c r="X529" s="23"/>
      <c r="Y529" s="23"/>
      <c r="Z529" s="23"/>
      <c r="AA529" s="23"/>
      <c r="AB529" s="23"/>
      <c r="AC529" s="23"/>
      <c r="AD529" s="23"/>
      <c r="AE529" s="23"/>
      <c r="AF529" s="23"/>
      <c r="AG529" s="23"/>
      <c r="AH529" s="23"/>
      <c r="AI529" s="23"/>
      <c r="AJ529" s="23"/>
      <c r="AK529" s="23"/>
      <c r="AL529" s="23"/>
      <c r="AM529" s="23"/>
      <c r="AN529" s="23"/>
    </row>
    <row r="530" spans="13:40" x14ac:dyDescent="0.2">
      <c r="M530" s="23"/>
      <c r="N530" s="949"/>
      <c r="O530" s="23"/>
      <c r="R530" s="23"/>
      <c r="S530" s="949"/>
      <c r="T530" s="23"/>
      <c r="U530" s="23"/>
      <c r="V530" s="23"/>
      <c r="W530" s="23"/>
      <c r="X530" s="23"/>
      <c r="Y530" s="23"/>
      <c r="Z530" s="23"/>
      <c r="AA530" s="23"/>
      <c r="AB530" s="23"/>
      <c r="AC530" s="23"/>
      <c r="AD530" s="23"/>
      <c r="AE530" s="23"/>
      <c r="AF530" s="23"/>
      <c r="AG530" s="23"/>
      <c r="AH530" s="23"/>
      <c r="AI530" s="23"/>
      <c r="AJ530" s="23"/>
      <c r="AK530" s="23"/>
      <c r="AL530" s="23"/>
      <c r="AM530" s="23"/>
      <c r="AN530" s="23"/>
    </row>
    <row r="531" spans="13:40" x14ac:dyDescent="0.2">
      <c r="M531" s="23"/>
      <c r="N531" s="949"/>
      <c r="O531" s="23"/>
      <c r="R531" s="23"/>
      <c r="S531" s="949"/>
      <c r="T531" s="23"/>
      <c r="U531" s="23"/>
      <c r="V531" s="23"/>
      <c r="W531" s="23"/>
      <c r="X531" s="23"/>
      <c r="Y531" s="23"/>
      <c r="Z531" s="23"/>
      <c r="AA531" s="23"/>
      <c r="AB531" s="23"/>
      <c r="AC531" s="23"/>
      <c r="AD531" s="23"/>
      <c r="AE531" s="23"/>
      <c r="AF531" s="23"/>
      <c r="AG531" s="23"/>
      <c r="AH531" s="23"/>
      <c r="AI531" s="23"/>
      <c r="AJ531" s="23"/>
      <c r="AK531" s="23"/>
      <c r="AL531" s="23"/>
      <c r="AM531" s="23"/>
      <c r="AN531" s="23"/>
    </row>
    <row r="532" spans="13:40" x14ac:dyDescent="0.2">
      <c r="M532" s="23"/>
      <c r="N532" s="949"/>
      <c r="O532" s="23"/>
      <c r="R532" s="23"/>
      <c r="S532" s="949"/>
      <c r="T532" s="23"/>
      <c r="U532" s="23"/>
      <c r="V532" s="23"/>
      <c r="W532" s="23"/>
      <c r="X532" s="23"/>
      <c r="Y532" s="23"/>
      <c r="Z532" s="23"/>
      <c r="AA532" s="23"/>
      <c r="AB532" s="23"/>
      <c r="AC532" s="23"/>
      <c r="AD532" s="23"/>
      <c r="AE532" s="23"/>
      <c r="AF532" s="23"/>
      <c r="AG532" s="23"/>
      <c r="AH532" s="23"/>
      <c r="AI532" s="23"/>
      <c r="AJ532" s="23"/>
      <c r="AK532" s="23"/>
      <c r="AL532" s="23"/>
      <c r="AM532" s="23"/>
      <c r="AN532" s="23"/>
    </row>
    <row r="533" spans="13:40" x14ac:dyDescent="0.2">
      <c r="M533" s="23"/>
      <c r="N533" s="949"/>
      <c r="O533" s="23"/>
      <c r="R533" s="23"/>
      <c r="S533" s="949"/>
      <c r="T533" s="23"/>
      <c r="U533" s="23"/>
      <c r="V533" s="23"/>
      <c r="W533" s="23"/>
      <c r="X533" s="23"/>
      <c r="Y533" s="23"/>
      <c r="Z533" s="23"/>
      <c r="AA533" s="23"/>
      <c r="AB533" s="23"/>
      <c r="AC533" s="23"/>
      <c r="AD533" s="23"/>
      <c r="AE533" s="23"/>
      <c r="AF533" s="23"/>
      <c r="AG533" s="23"/>
      <c r="AH533" s="23"/>
      <c r="AI533" s="23"/>
      <c r="AJ533" s="23"/>
      <c r="AK533" s="23"/>
      <c r="AL533" s="23"/>
      <c r="AM533" s="23"/>
      <c r="AN533" s="23"/>
    </row>
    <row r="534" spans="13:40" x14ac:dyDescent="0.2">
      <c r="M534" s="23"/>
      <c r="N534" s="949"/>
      <c r="O534" s="23"/>
      <c r="R534" s="23"/>
      <c r="S534" s="949"/>
      <c r="T534" s="23"/>
      <c r="U534" s="23"/>
      <c r="V534" s="23"/>
      <c r="W534" s="23"/>
      <c r="X534" s="23"/>
      <c r="Y534" s="23"/>
      <c r="Z534" s="23"/>
      <c r="AA534" s="23"/>
      <c r="AB534" s="23"/>
      <c r="AC534" s="23"/>
      <c r="AD534" s="23"/>
      <c r="AE534" s="23"/>
      <c r="AF534" s="23"/>
      <c r="AG534" s="23"/>
      <c r="AH534" s="23"/>
      <c r="AI534" s="23"/>
      <c r="AJ534" s="23"/>
      <c r="AK534" s="23"/>
      <c r="AL534" s="23"/>
      <c r="AM534" s="23"/>
      <c r="AN534" s="23"/>
    </row>
    <row r="535" spans="13:40" x14ac:dyDescent="0.2">
      <c r="M535" s="23"/>
      <c r="N535" s="949"/>
      <c r="O535" s="23"/>
      <c r="R535" s="23"/>
      <c r="S535" s="949"/>
      <c r="T535" s="23"/>
      <c r="U535" s="23"/>
      <c r="V535" s="23"/>
      <c r="W535" s="23"/>
      <c r="X535" s="23"/>
      <c r="Y535" s="23"/>
      <c r="Z535" s="23"/>
      <c r="AA535" s="23"/>
      <c r="AB535" s="23"/>
      <c r="AC535" s="23"/>
      <c r="AD535" s="23"/>
      <c r="AE535" s="23"/>
      <c r="AF535" s="23"/>
      <c r="AG535" s="23"/>
      <c r="AH535" s="23"/>
      <c r="AI535" s="23"/>
      <c r="AJ535" s="23"/>
      <c r="AK535" s="23"/>
      <c r="AL535" s="23"/>
      <c r="AM535" s="23"/>
      <c r="AN535" s="23"/>
    </row>
    <row r="536" spans="13:40" x14ac:dyDescent="0.2">
      <c r="M536" s="23"/>
      <c r="N536" s="949"/>
      <c r="O536" s="23"/>
      <c r="R536" s="23"/>
      <c r="S536" s="949"/>
      <c r="T536" s="23"/>
      <c r="U536" s="23"/>
      <c r="V536" s="23"/>
      <c r="W536" s="23"/>
      <c r="X536" s="23"/>
      <c r="Y536" s="23"/>
      <c r="Z536" s="23"/>
      <c r="AA536" s="23"/>
      <c r="AB536" s="23"/>
      <c r="AC536" s="23"/>
      <c r="AD536" s="23"/>
      <c r="AE536" s="23"/>
      <c r="AF536" s="23"/>
      <c r="AG536" s="23"/>
      <c r="AH536" s="23"/>
      <c r="AI536" s="23"/>
      <c r="AJ536" s="23"/>
      <c r="AK536" s="23"/>
      <c r="AL536" s="23"/>
      <c r="AM536" s="23"/>
      <c r="AN536" s="23"/>
    </row>
    <row r="537" spans="13:40" x14ac:dyDescent="0.2">
      <c r="M537" s="23"/>
      <c r="N537" s="949"/>
      <c r="O537" s="23"/>
      <c r="R537" s="23"/>
      <c r="S537" s="949"/>
      <c r="T537" s="23"/>
      <c r="U537" s="23"/>
      <c r="V537" s="23"/>
      <c r="W537" s="23"/>
      <c r="X537" s="23"/>
      <c r="Y537" s="23"/>
      <c r="Z537" s="23"/>
      <c r="AA537" s="23"/>
      <c r="AB537" s="23"/>
      <c r="AC537" s="23"/>
      <c r="AD537" s="23"/>
      <c r="AE537" s="23"/>
      <c r="AF537" s="23"/>
      <c r="AG537" s="23"/>
      <c r="AH537" s="23"/>
      <c r="AI537" s="23"/>
      <c r="AJ537" s="23"/>
      <c r="AK537" s="23"/>
      <c r="AL537" s="23"/>
      <c r="AM537" s="23"/>
      <c r="AN537" s="23"/>
    </row>
    <row r="538" spans="13:40" x14ac:dyDescent="0.2">
      <c r="M538" s="23"/>
      <c r="N538" s="949"/>
      <c r="O538" s="23"/>
      <c r="R538" s="23"/>
      <c r="S538" s="949"/>
      <c r="T538" s="23"/>
      <c r="U538" s="23"/>
      <c r="V538" s="23"/>
      <c r="W538" s="23"/>
      <c r="X538" s="23"/>
      <c r="Y538" s="23"/>
      <c r="Z538" s="23"/>
      <c r="AA538" s="23"/>
      <c r="AB538" s="23"/>
      <c r="AC538" s="23"/>
      <c r="AD538" s="23"/>
      <c r="AE538" s="23"/>
      <c r="AF538" s="23"/>
      <c r="AG538" s="23"/>
      <c r="AH538" s="23"/>
      <c r="AI538" s="23"/>
      <c r="AJ538" s="23"/>
      <c r="AK538" s="23"/>
      <c r="AL538" s="23"/>
      <c r="AM538" s="23"/>
      <c r="AN538" s="23"/>
    </row>
    <row r="539" spans="13:40" x14ac:dyDescent="0.2">
      <c r="M539" s="23"/>
      <c r="N539" s="949"/>
      <c r="O539" s="23"/>
      <c r="R539" s="23"/>
      <c r="S539" s="949"/>
      <c r="T539" s="23"/>
      <c r="U539" s="23"/>
      <c r="V539" s="23"/>
      <c r="W539" s="23"/>
      <c r="X539" s="23"/>
      <c r="Y539" s="23"/>
      <c r="Z539" s="23"/>
      <c r="AA539" s="23"/>
      <c r="AB539" s="23"/>
      <c r="AC539" s="23"/>
      <c r="AD539" s="23"/>
      <c r="AE539" s="23"/>
      <c r="AF539" s="23"/>
      <c r="AG539" s="23"/>
      <c r="AH539" s="23"/>
      <c r="AI539" s="23"/>
      <c r="AJ539" s="23"/>
      <c r="AK539" s="23"/>
      <c r="AL539" s="23"/>
      <c r="AM539" s="23"/>
      <c r="AN539" s="23"/>
    </row>
    <row r="540" spans="13:40" x14ac:dyDescent="0.2">
      <c r="M540" s="23"/>
      <c r="N540" s="949"/>
      <c r="O540" s="23"/>
      <c r="R540" s="23"/>
      <c r="S540" s="949"/>
      <c r="T540" s="23"/>
      <c r="U540" s="23"/>
      <c r="V540" s="23"/>
      <c r="W540" s="23"/>
      <c r="X540" s="23"/>
      <c r="Y540" s="23"/>
      <c r="Z540" s="23"/>
      <c r="AA540" s="23"/>
      <c r="AB540" s="23"/>
      <c r="AC540" s="23"/>
      <c r="AD540" s="23"/>
      <c r="AE540" s="23"/>
      <c r="AF540" s="23"/>
      <c r="AG540" s="23"/>
      <c r="AH540" s="23"/>
      <c r="AI540" s="23"/>
      <c r="AJ540" s="23"/>
      <c r="AK540" s="23"/>
      <c r="AL540" s="23"/>
      <c r="AM540" s="23"/>
      <c r="AN540" s="23"/>
    </row>
    <row r="541" spans="13:40" x14ac:dyDescent="0.2">
      <c r="M541" s="23"/>
      <c r="N541" s="949"/>
      <c r="O541" s="23"/>
      <c r="R541" s="23"/>
      <c r="S541" s="949"/>
      <c r="T541" s="23"/>
      <c r="U541" s="23"/>
      <c r="V541" s="23"/>
      <c r="W541" s="23"/>
      <c r="X541" s="23"/>
      <c r="Y541" s="23"/>
      <c r="Z541" s="23"/>
      <c r="AA541" s="23"/>
      <c r="AB541" s="23"/>
      <c r="AC541" s="23"/>
      <c r="AD541" s="23"/>
      <c r="AE541" s="23"/>
      <c r="AF541" s="23"/>
      <c r="AG541" s="23"/>
      <c r="AH541" s="23"/>
      <c r="AI541" s="23"/>
      <c r="AJ541" s="23"/>
      <c r="AK541" s="23"/>
      <c r="AL541" s="23"/>
      <c r="AM541" s="23"/>
      <c r="AN541" s="23"/>
    </row>
    <row r="542" spans="13:40" x14ac:dyDescent="0.2">
      <c r="M542" s="23"/>
      <c r="N542" s="949"/>
      <c r="O542" s="23"/>
      <c r="R542" s="23"/>
      <c r="S542" s="949"/>
      <c r="T542" s="23"/>
      <c r="U542" s="23"/>
      <c r="V542" s="23"/>
      <c r="W542" s="23"/>
      <c r="X542" s="23"/>
      <c r="Y542" s="23"/>
      <c r="Z542" s="23"/>
      <c r="AA542" s="23"/>
      <c r="AB542" s="23"/>
      <c r="AC542" s="23"/>
      <c r="AD542" s="23"/>
      <c r="AE542" s="23"/>
      <c r="AF542" s="23"/>
      <c r="AG542" s="23"/>
      <c r="AH542" s="23"/>
      <c r="AI542" s="23"/>
      <c r="AJ542" s="23"/>
      <c r="AK542" s="23"/>
      <c r="AL542" s="23"/>
      <c r="AM542" s="23"/>
      <c r="AN542" s="23"/>
    </row>
    <row r="543" spans="13:40" x14ac:dyDescent="0.2">
      <c r="M543" s="23"/>
      <c r="N543" s="949"/>
      <c r="O543" s="23"/>
      <c r="R543" s="23"/>
      <c r="S543" s="949"/>
      <c r="T543" s="23"/>
      <c r="U543" s="23"/>
      <c r="V543" s="23"/>
      <c r="W543" s="23"/>
      <c r="X543" s="23"/>
      <c r="Y543" s="23"/>
      <c r="Z543" s="23"/>
      <c r="AA543" s="23"/>
      <c r="AB543" s="23"/>
      <c r="AC543" s="23"/>
      <c r="AD543" s="23"/>
      <c r="AE543" s="23"/>
      <c r="AF543" s="23"/>
      <c r="AG543" s="23"/>
      <c r="AH543" s="23"/>
      <c r="AI543" s="23"/>
      <c r="AJ543" s="23"/>
      <c r="AK543" s="23"/>
      <c r="AL543" s="23"/>
      <c r="AM543" s="23"/>
      <c r="AN543" s="23"/>
    </row>
    <row r="544" spans="13:40" x14ac:dyDescent="0.2">
      <c r="M544" s="23"/>
      <c r="N544" s="949"/>
      <c r="O544" s="23"/>
      <c r="R544" s="23"/>
      <c r="S544" s="949"/>
      <c r="T544" s="23"/>
      <c r="U544" s="23"/>
      <c r="V544" s="23"/>
      <c r="W544" s="23"/>
      <c r="X544" s="23"/>
      <c r="Y544" s="23"/>
      <c r="Z544" s="23"/>
      <c r="AA544" s="23"/>
      <c r="AB544" s="23"/>
      <c r="AC544" s="23"/>
      <c r="AD544" s="23"/>
      <c r="AE544" s="23"/>
      <c r="AF544" s="23"/>
      <c r="AG544" s="23"/>
      <c r="AH544" s="23"/>
      <c r="AI544" s="23"/>
      <c r="AJ544" s="23"/>
      <c r="AK544" s="23"/>
      <c r="AL544" s="23"/>
      <c r="AM544" s="23"/>
      <c r="AN544" s="23"/>
    </row>
    <row r="545" spans="13:40" x14ac:dyDescent="0.2">
      <c r="M545" s="23"/>
      <c r="N545" s="949"/>
      <c r="O545" s="23"/>
      <c r="R545" s="23"/>
      <c r="S545" s="949"/>
      <c r="T545" s="23"/>
      <c r="U545" s="23"/>
      <c r="V545" s="23"/>
      <c r="W545" s="23"/>
      <c r="X545" s="23"/>
      <c r="Y545" s="23"/>
      <c r="Z545" s="23"/>
      <c r="AA545" s="23"/>
      <c r="AB545" s="23"/>
      <c r="AC545" s="23"/>
      <c r="AD545" s="23"/>
      <c r="AE545" s="23"/>
      <c r="AF545" s="23"/>
      <c r="AG545" s="23"/>
      <c r="AH545" s="23"/>
      <c r="AI545" s="23"/>
      <c r="AJ545" s="23"/>
      <c r="AK545" s="23"/>
      <c r="AL545" s="23"/>
      <c r="AM545" s="23"/>
      <c r="AN545" s="23"/>
    </row>
    <row r="546" spans="13:40" x14ac:dyDescent="0.2">
      <c r="M546" s="23"/>
      <c r="N546" s="949"/>
      <c r="O546" s="23"/>
      <c r="R546" s="23"/>
      <c r="S546" s="949"/>
      <c r="T546" s="23"/>
      <c r="U546" s="23"/>
      <c r="V546" s="23"/>
      <c r="W546" s="23"/>
      <c r="X546" s="23"/>
      <c r="Y546" s="23"/>
      <c r="Z546" s="23"/>
      <c r="AA546" s="23"/>
      <c r="AB546" s="23"/>
      <c r="AC546" s="23"/>
      <c r="AD546" s="23"/>
      <c r="AE546" s="23"/>
      <c r="AF546" s="23"/>
      <c r="AG546" s="23"/>
      <c r="AH546" s="23"/>
      <c r="AI546" s="23"/>
      <c r="AJ546" s="23"/>
      <c r="AK546" s="23"/>
      <c r="AL546" s="23"/>
      <c r="AM546" s="23"/>
      <c r="AN546" s="23"/>
    </row>
    <row r="547" spans="13:40" x14ac:dyDescent="0.2">
      <c r="M547" s="23"/>
      <c r="N547" s="949"/>
      <c r="O547" s="23"/>
      <c r="R547" s="23"/>
      <c r="S547" s="949"/>
      <c r="T547" s="23"/>
      <c r="U547" s="23"/>
      <c r="V547" s="23"/>
      <c r="W547" s="23"/>
      <c r="X547" s="23"/>
      <c r="Y547" s="23"/>
      <c r="Z547" s="23"/>
      <c r="AA547" s="23"/>
      <c r="AB547" s="23"/>
      <c r="AC547" s="23"/>
      <c r="AD547" s="23"/>
      <c r="AE547" s="23"/>
      <c r="AF547" s="23"/>
      <c r="AG547" s="23"/>
      <c r="AH547" s="23"/>
      <c r="AI547" s="23"/>
      <c r="AJ547" s="23"/>
      <c r="AK547" s="23"/>
      <c r="AL547" s="23"/>
      <c r="AM547" s="23"/>
      <c r="AN547" s="23"/>
    </row>
    <row r="548" spans="13:40" x14ac:dyDescent="0.2">
      <c r="M548" s="23"/>
      <c r="N548" s="949"/>
      <c r="O548" s="23"/>
      <c r="R548" s="23"/>
      <c r="S548" s="949"/>
      <c r="T548" s="23"/>
      <c r="U548" s="23"/>
      <c r="V548" s="23"/>
      <c r="W548" s="23"/>
      <c r="X548" s="23"/>
      <c r="Y548" s="23"/>
      <c r="Z548" s="23"/>
      <c r="AA548" s="23"/>
      <c r="AB548" s="23"/>
      <c r="AC548" s="23"/>
      <c r="AD548" s="23"/>
      <c r="AE548" s="23"/>
      <c r="AF548" s="23"/>
      <c r="AG548" s="23"/>
      <c r="AH548" s="23"/>
      <c r="AI548" s="23"/>
      <c r="AJ548" s="23"/>
      <c r="AK548" s="23"/>
      <c r="AL548" s="23"/>
      <c r="AM548" s="23"/>
      <c r="AN548" s="23"/>
    </row>
    <row r="549" spans="13:40" x14ac:dyDescent="0.2">
      <c r="M549" s="23"/>
      <c r="N549" s="949"/>
      <c r="O549" s="23"/>
      <c r="R549" s="23"/>
      <c r="S549" s="949"/>
      <c r="T549" s="23"/>
      <c r="U549" s="23"/>
      <c r="V549" s="23"/>
      <c r="W549" s="23"/>
      <c r="X549" s="23"/>
      <c r="Y549" s="23"/>
      <c r="Z549" s="23"/>
      <c r="AA549" s="23"/>
      <c r="AB549" s="23"/>
      <c r="AC549" s="23"/>
      <c r="AD549" s="23"/>
      <c r="AE549" s="23"/>
      <c r="AF549" s="23"/>
      <c r="AG549" s="23"/>
      <c r="AH549" s="23"/>
      <c r="AI549" s="23"/>
      <c r="AJ549" s="23"/>
      <c r="AK549" s="23"/>
      <c r="AL549" s="23"/>
      <c r="AM549" s="23"/>
      <c r="AN549" s="23"/>
    </row>
    <row r="550" spans="13:40" x14ac:dyDescent="0.2">
      <c r="M550" s="23"/>
      <c r="N550" s="949"/>
      <c r="O550" s="23"/>
      <c r="R550" s="23"/>
      <c r="S550" s="949"/>
      <c r="T550" s="23"/>
      <c r="U550" s="23"/>
      <c r="V550" s="23"/>
      <c r="W550" s="23"/>
      <c r="X550" s="23"/>
      <c r="Y550" s="23"/>
      <c r="Z550" s="23"/>
      <c r="AA550" s="23"/>
      <c r="AB550" s="23"/>
      <c r="AC550" s="23"/>
      <c r="AD550" s="23"/>
      <c r="AE550" s="23"/>
      <c r="AF550" s="23"/>
      <c r="AG550" s="23"/>
      <c r="AH550" s="23"/>
      <c r="AI550" s="23"/>
      <c r="AJ550" s="23"/>
      <c r="AK550" s="23"/>
      <c r="AL550" s="23"/>
      <c r="AM550" s="23"/>
      <c r="AN550" s="23"/>
    </row>
    <row r="551" spans="13:40" x14ac:dyDescent="0.2">
      <c r="M551" s="23"/>
      <c r="N551" s="949"/>
      <c r="O551" s="23"/>
      <c r="R551" s="23"/>
      <c r="S551" s="949"/>
      <c r="T551" s="23"/>
      <c r="U551" s="23"/>
      <c r="V551" s="23"/>
      <c r="W551" s="23"/>
      <c r="X551" s="23"/>
      <c r="Y551" s="23"/>
      <c r="Z551" s="23"/>
      <c r="AA551" s="23"/>
      <c r="AB551" s="23"/>
      <c r="AC551" s="23"/>
      <c r="AD551" s="23"/>
      <c r="AE551" s="23"/>
      <c r="AF551" s="23"/>
      <c r="AG551" s="23"/>
      <c r="AH551" s="23"/>
      <c r="AI551" s="23"/>
      <c r="AJ551" s="23"/>
      <c r="AK551" s="23"/>
      <c r="AL551" s="23"/>
      <c r="AM551" s="23"/>
      <c r="AN551" s="23"/>
    </row>
    <row r="552" spans="13:40" x14ac:dyDescent="0.2">
      <c r="M552" s="23"/>
      <c r="N552" s="949"/>
      <c r="O552" s="23"/>
      <c r="R552" s="23"/>
      <c r="S552" s="949"/>
      <c r="T552" s="23"/>
      <c r="U552" s="23"/>
      <c r="V552" s="23"/>
      <c r="W552" s="23"/>
      <c r="X552" s="23"/>
      <c r="Y552" s="23"/>
      <c r="Z552" s="23"/>
      <c r="AA552" s="23"/>
      <c r="AB552" s="23"/>
      <c r="AC552" s="23"/>
      <c r="AD552" s="23"/>
      <c r="AE552" s="23"/>
      <c r="AF552" s="23"/>
      <c r="AG552" s="23"/>
      <c r="AH552" s="23"/>
      <c r="AI552" s="23"/>
      <c r="AJ552" s="23"/>
      <c r="AK552" s="23"/>
      <c r="AL552" s="23"/>
      <c r="AM552" s="23"/>
      <c r="AN552" s="23"/>
    </row>
    <row r="553" spans="13:40" x14ac:dyDescent="0.2">
      <c r="M553" s="23"/>
      <c r="N553" s="949"/>
      <c r="O553" s="23"/>
      <c r="R553" s="23"/>
      <c r="S553" s="949"/>
      <c r="T553" s="23"/>
      <c r="U553" s="23"/>
      <c r="V553" s="23"/>
      <c r="W553" s="23"/>
      <c r="X553" s="23"/>
      <c r="Y553" s="23"/>
      <c r="Z553" s="23"/>
      <c r="AA553" s="23"/>
      <c r="AB553" s="23"/>
      <c r="AC553" s="23"/>
      <c r="AD553" s="23"/>
      <c r="AE553" s="23"/>
      <c r="AF553" s="23"/>
      <c r="AG553" s="23"/>
      <c r="AH553" s="23"/>
      <c r="AI553" s="23"/>
      <c r="AJ553" s="23"/>
      <c r="AK553" s="23"/>
      <c r="AL553" s="23"/>
      <c r="AM553" s="23"/>
      <c r="AN553" s="23"/>
    </row>
    <row r="554" spans="13:40" x14ac:dyDescent="0.2">
      <c r="M554" s="23"/>
      <c r="N554" s="949"/>
      <c r="O554" s="23"/>
      <c r="R554" s="23"/>
      <c r="S554" s="949"/>
      <c r="T554" s="23"/>
      <c r="U554" s="23"/>
      <c r="V554" s="23"/>
      <c r="W554" s="23"/>
      <c r="X554" s="23"/>
      <c r="Y554" s="23"/>
      <c r="Z554" s="23"/>
      <c r="AA554" s="23"/>
      <c r="AB554" s="23"/>
      <c r="AC554" s="23"/>
      <c r="AD554" s="23"/>
      <c r="AE554" s="23"/>
      <c r="AF554" s="23"/>
      <c r="AG554" s="23"/>
      <c r="AH554" s="23"/>
      <c r="AI554" s="23"/>
      <c r="AJ554" s="23"/>
      <c r="AK554" s="23"/>
      <c r="AL554" s="23"/>
      <c r="AM554" s="23"/>
      <c r="AN554" s="23"/>
    </row>
    <row r="555" spans="13:40" x14ac:dyDescent="0.2">
      <c r="M555" s="23"/>
      <c r="N555" s="949"/>
      <c r="O555" s="23"/>
      <c r="R555" s="23"/>
      <c r="S555" s="949"/>
      <c r="T555" s="23"/>
      <c r="U555" s="23"/>
      <c r="V555" s="23"/>
      <c r="W555" s="23"/>
      <c r="X555" s="23"/>
      <c r="Y555" s="23"/>
      <c r="Z555" s="23"/>
      <c r="AA555" s="23"/>
      <c r="AB555" s="23"/>
      <c r="AC555" s="23"/>
      <c r="AD555" s="23"/>
      <c r="AE555" s="23"/>
      <c r="AF555" s="23"/>
      <c r="AG555" s="23"/>
      <c r="AH555" s="23"/>
      <c r="AI555" s="23"/>
      <c r="AJ555" s="23"/>
      <c r="AK555" s="23"/>
      <c r="AL555" s="23"/>
      <c r="AM555" s="23"/>
      <c r="AN555" s="23"/>
    </row>
    <row r="556" spans="13:40" x14ac:dyDescent="0.2">
      <c r="M556" s="23"/>
      <c r="N556" s="949"/>
      <c r="O556" s="23"/>
      <c r="R556" s="23"/>
      <c r="S556" s="949"/>
      <c r="T556" s="23"/>
      <c r="U556" s="23"/>
      <c r="V556" s="23"/>
      <c r="W556" s="23"/>
      <c r="X556" s="23"/>
      <c r="Y556" s="23"/>
      <c r="Z556" s="23"/>
      <c r="AA556" s="23"/>
      <c r="AB556" s="23"/>
      <c r="AC556" s="23"/>
      <c r="AD556" s="23"/>
      <c r="AE556" s="23"/>
      <c r="AF556" s="23"/>
      <c r="AG556" s="23"/>
      <c r="AH556" s="23"/>
      <c r="AI556" s="23"/>
      <c r="AJ556" s="23"/>
      <c r="AK556" s="23"/>
      <c r="AL556" s="23"/>
      <c r="AM556" s="23"/>
      <c r="AN556" s="23"/>
    </row>
    <row r="557" spans="13:40" x14ac:dyDescent="0.2">
      <c r="M557" s="23"/>
      <c r="N557" s="949"/>
      <c r="O557" s="23"/>
      <c r="R557" s="23"/>
      <c r="S557" s="949"/>
      <c r="T557" s="23"/>
      <c r="U557" s="23"/>
      <c r="V557" s="23"/>
      <c r="W557" s="23"/>
      <c r="X557" s="23"/>
      <c r="Y557" s="23"/>
      <c r="Z557" s="23"/>
      <c r="AA557" s="23"/>
      <c r="AB557" s="23"/>
      <c r="AC557" s="23"/>
      <c r="AD557" s="23"/>
      <c r="AE557" s="23"/>
      <c r="AF557" s="23"/>
      <c r="AG557" s="23"/>
      <c r="AH557" s="23"/>
      <c r="AI557" s="23"/>
      <c r="AJ557" s="23"/>
      <c r="AK557" s="23"/>
      <c r="AL557" s="23"/>
      <c r="AM557" s="23"/>
      <c r="AN557" s="23"/>
    </row>
    <row r="558" spans="13:40" x14ac:dyDescent="0.2">
      <c r="M558" s="23"/>
      <c r="N558" s="949"/>
      <c r="O558" s="23"/>
      <c r="R558" s="23"/>
      <c r="S558" s="949"/>
      <c r="T558" s="23"/>
      <c r="U558" s="23"/>
      <c r="V558" s="23"/>
      <c r="W558" s="23"/>
      <c r="X558" s="23"/>
      <c r="Y558" s="23"/>
      <c r="Z558" s="23"/>
      <c r="AA558" s="23"/>
      <c r="AB558" s="23"/>
      <c r="AC558" s="23"/>
      <c r="AD558" s="23"/>
      <c r="AE558" s="23"/>
      <c r="AF558" s="23"/>
      <c r="AG558" s="23"/>
      <c r="AH558" s="23"/>
      <c r="AI558" s="23"/>
      <c r="AJ558" s="23"/>
      <c r="AK558" s="23"/>
      <c r="AL558" s="23"/>
      <c r="AM558" s="23"/>
      <c r="AN558" s="23"/>
    </row>
    <row r="559" spans="13:40" x14ac:dyDescent="0.2">
      <c r="M559" s="23"/>
      <c r="N559" s="949"/>
      <c r="O559" s="23"/>
      <c r="R559" s="23"/>
      <c r="S559" s="949"/>
      <c r="T559" s="23"/>
      <c r="U559" s="23"/>
      <c r="V559" s="23"/>
      <c r="W559" s="23"/>
      <c r="X559" s="23"/>
      <c r="Y559" s="23"/>
      <c r="Z559" s="23"/>
      <c r="AA559" s="23"/>
      <c r="AB559" s="23"/>
      <c r="AC559" s="23"/>
      <c r="AD559" s="23"/>
      <c r="AE559" s="23"/>
      <c r="AF559" s="23"/>
      <c r="AG559" s="23"/>
      <c r="AH559" s="23"/>
      <c r="AI559" s="23"/>
      <c r="AJ559" s="23"/>
      <c r="AK559" s="23"/>
      <c r="AL559" s="23"/>
      <c r="AM559" s="23"/>
      <c r="AN559" s="23"/>
    </row>
    <row r="560" spans="13:40" x14ac:dyDescent="0.2">
      <c r="M560" s="23"/>
      <c r="N560" s="949"/>
      <c r="O560" s="23"/>
      <c r="R560" s="23"/>
      <c r="S560" s="949"/>
      <c r="T560" s="23"/>
      <c r="U560" s="23"/>
      <c r="V560" s="23"/>
      <c r="W560" s="23"/>
      <c r="X560" s="23"/>
      <c r="Y560" s="23"/>
      <c r="Z560" s="23"/>
      <c r="AA560" s="23"/>
      <c r="AB560" s="23"/>
      <c r="AC560" s="23"/>
      <c r="AD560" s="23"/>
      <c r="AE560" s="23"/>
      <c r="AF560" s="23"/>
      <c r="AG560" s="23"/>
      <c r="AH560" s="23"/>
      <c r="AI560" s="23"/>
      <c r="AJ560" s="23"/>
      <c r="AK560" s="23"/>
      <c r="AL560" s="23"/>
      <c r="AM560" s="23"/>
      <c r="AN560" s="23"/>
    </row>
    <row r="561" spans="13:40" x14ac:dyDescent="0.2">
      <c r="M561" s="23"/>
      <c r="N561" s="949"/>
      <c r="O561" s="23"/>
      <c r="R561" s="23"/>
      <c r="S561" s="949"/>
      <c r="T561" s="23"/>
      <c r="U561" s="23"/>
      <c r="V561" s="23"/>
      <c r="W561" s="23"/>
      <c r="X561" s="23"/>
      <c r="Y561" s="23"/>
      <c r="Z561" s="23"/>
      <c r="AA561" s="23"/>
      <c r="AB561" s="23"/>
      <c r="AC561" s="23"/>
      <c r="AD561" s="23"/>
      <c r="AE561" s="23"/>
      <c r="AF561" s="23"/>
      <c r="AG561" s="23"/>
      <c r="AH561" s="23"/>
      <c r="AI561" s="23"/>
      <c r="AJ561" s="23"/>
      <c r="AK561" s="23"/>
      <c r="AL561" s="23"/>
      <c r="AM561" s="23"/>
      <c r="AN561" s="23"/>
    </row>
    <row r="562" spans="13:40" x14ac:dyDescent="0.2">
      <c r="M562" s="23"/>
      <c r="N562" s="949"/>
      <c r="O562" s="23"/>
      <c r="R562" s="23"/>
      <c r="S562" s="949"/>
      <c r="T562" s="23"/>
      <c r="U562" s="23"/>
      <c r="V562" s="23"/>
      <c r="W562" s="23"/>
      <c r="X562" s="23"/>
      <c r="Y562" s="23"/>
      <c r="Z562" s="23"/>
      <c r="AA562" s="23"/>
      <c r="AB562" s="23"/>
      <c r="AC562" s="23"/>
      <c r="AD562" s="23"/>
      <c r="AE562" s="23"/>
      <c r="AF562" s="23"/>
      <c r="AG562" s="23"/>
      <c r="AH562" s="23"/>
      <c r="AI562" s="23"/>
      <c r="AJ562" s="23"/>
      <c r="AK562" s="23"/>
      <c r="AL562" s="23"/>
      <c r="AM562" s="23"/>
      <c r="AN562" s="23"/>
    </row>
    <row r="563" spans="13:40" x14ac:dyDescent="0.2">
      <c r="M563" s="23"/>
      <c r="N563" s="949"/>
      <c r="O563" s="23"/>
      <c r="R563" s="23"/>
      <c r="S563" s="949"/>
      <c r="T563" s="23"/>
      <c r="U563" s="23"/>
      <c r="V563" s="23"/>
      <c r="W563" s="23"/>
      <c r="X563" s="23"/>
      <c r="Y563" s="23"/>
      <c r="Z563" s="23"/>
      <c r="AA563" s="23"/>
      <c r="AB563" s="23"/>
      <c r="AC563" s="23"/>
      <c r="AD563" s="23"/>
      <c r="AE563" s="23"/>
      <c r="AF563" s="23"/>
      <c r="AG563" s="23"/>
      <c r="AH563" s="23"/>
      <c r="AI563" s="23"/>
      <c r="AJ563" s="23"/>
      <c r="AK563" s="23"/>
      <c r="AL563" s="23"/>
      <c r="AM563" s="23"/>
      <c r="AN563" s="23"/>
    </row>
    <row r="564" spans="13:40" x14ac:dyDescent="0.2">
      <c r="M564" s="23"/>
      <c r="N564" s="949"/>
      <c r="O564" s="23"/>
      <c r="R564" s="23"/>
      <c r="S564" s="949"/>
      <c r="T564" s="23"/>
      <c r="U564" s="23"/>
      <c r="V564" s="23"/>
      <c r="W564" s="23"/>
      <c r="X564" s="23"/>
      <c r="Y564" s="23"/>
      <c r="Z564" s="23"/>
      <c r="AA564" s="23"/>
      <c r="AB564" s="23"/>
      <c r="AC564" s="23"/>
      <c r="AD564" s="23"/>
      <c r="AE564" s="23"/>
      <c r="AF564" s="23"/>
      <c r="AG564" s="23"/>
      <c r="AH564" s="23"/>
      <c r="AI564" s="23"/>
      <c r="AJ564" s="23"/>
      <c r="AK564" s="23"/>
      <c r="AL564" s="23"/>
      <c r="AM564" s="23"/>
      <c r="AN564" s="23"/>
    </row>
    <row r="565" spans="13:40" x14ac:dyDescent="0.2">
      <c r="M565" s="23"/>
      <c r="N565" s="949"/>
      <c r="O565" s="23"/>
      <c r="R565" s="23"/>
      <c r="S565" s="949"/>
      <c r="T565" s="23"/>
      <c r="U565" s="23"/>
      <c r="V565" s="23"/>
      <c r="W565" s="23"/>
      <c r="X565" s="23"/>
      <c r="Y565" s="23"/>
      <c r="Z565" s="23"/>
      <c r="AA565" s="23"/>
      <c r="AB565" s="23"/>
      <c r="AC565" s="23"/>
      <c r="AD565" s="23"/>
      <c r="AE565" s="23"/>
      <c r="AF565" s="23"/>
      <c r="AG565" s="23"/>
      <c r="AH565" s="23"/>
      <c r="AI565" s="23"/>
      <c r="AJ565" s="23"/>
      <c r="AK565" s="23"/>
      <c r="AL565" s="23"/>
      <c r="AM565" s="23"/>
      <c r="AN565" s="23"/>
    </row>
    <row r="566" spans="13:40" x14ac:dyDescent="0.2">
      <c r="M566" s="23"/>
      <c r="N566" s="949"/>
      <c r="O566" s="23"/>
      <c r="R566" s="23"/>
      <c r="S566" s="949"/>
      <c r="T566" s="23"/>
      <c r="U566" s="23"/>
      <c r="V566" s="23"/>
      <c r="W566" s="23"/>
      <c r="X566" s="23"/>
      <c r="Y566" s="23"/>
      <c r="Z566" s="23"/>
      <c r="AA566" s="23"/>
      <c r="AB566" s="23"/>
      <c r="AC566" s="23"/>
      <c r="AD566" s="23"/>
      <c r="AE566" s="23"/>
      <c r="AF566" s="23"/>
      <c r="AG566" s="23"/>
      <c r="AH566" s="23"/>
      <c r="AI566" s="23"/>
      <c r="AJ566" s="23"/>
      <c r="AK566" s="23"/>
      <c r="AL566" s="23"/>
      <c r="AM566" s="23"/>
      <c r="AN566" s="23"/>
    </row>
    <row r="567" spans="13:40" x14ac:dyDescent="0.2">
      <c r="M567" s="23"/>
      <c r="N567" s="949"/>
      <c r="O567" s="23"/>
      <c r="R567" s="23"/>
      <c r="S567" s="949"/>
      <c r="T567" s="23"/>
      <c r="U567" s="23"/>
      <c r="V567" s="23"/>
      <c r="W567" s="23"/>
      <c r="X567" s="23"/>
      <c r="Y567" s="23"/>
      <c r="Z567" s="23"/>
      <c r="AA567" s="23"/>
      <c r="AB567" s="23"/>
      <c r="AC567" s="23"/>
      <c r="AD567" s="23"/>
      <c r="AE567" s="23"/>
      <c r="AF567" s="23"/>
      <c r="AG567" s="23"/>
      <c r="AH567" s="23"/>
      <c r="AI567" s="23"/>
      <c r="AJ567" s="23"/>
      <c r="AK567" s="23"/>
      <c r="AL567" s="23"/>
      <c r="AM567" s="23"/>
      <c r="AN567" s="23"/>
    </row>
    <row r="568" spans="13:40" x14ac:dyDescent="0.2">
      <c r="M568" s="23"/>
      <c r="N568" s="949"/>
      <c r="O568" s="23"/>
      <c r="R568" s="23"/>
      <c r="S568" s="949"/>
      <c r="T568" s="23"/>
      <c r="U568" s="23"/>
      <c r="V568" s="23"/>
      <c r="W568" s="23"/>
      <c r="X568" s="23"/>
      <c r="Y568" s="23"/>
      <c r="Z568" s="23"/>
      <c r="AA568" s="23"/>
      <c r="AB568" s="23"/>
      <c r="AC568" s="23"/>
      <c r="AD568" s="23"/>
      <c r="AE568" s="23"/>
      <c r="AF568" s="23"/>
      <c r="AG568" s="23"/>
      <c r="AH568" s="23"/>
      <c r="AI568" s="23"/>
      <c r="AJ568" s="23"/>
      <c r="AK568" s="23"/>
      <c r="AL568" s="23"/>
      <c r="AM568" s="23"/>
      <c r="AN568" s="23"/>
    </row>
    <row r="569" spans="13:40" x14ac:dyDescent="0.2">
      <c r="M569" s="23"/>
      <c r="N569" s="949"/>
      <c r="O569" s="23"/>
      <c r="R569" s="23"/>
      <c r="S569" s="949"/>
      <c r="T569" s="23"/>
      <c r="U569" s="23"/>
      <c r="V569" s="23"/>
      <c r="W569" s="23"/>
      <c r="X569" s="23"/>
      <c r="Y569" s="23"/>
      <c r="Z569" s="23"/>
      <c r="AA569" s="23"/>
      <c r="AB569" s="23"/>
      <c r="AC569" s="23"/>
      <c r="AD569" s="23"/>
      <c r="AE569" s="23"/>
      <c r="AF569" s="23"/>
      <c r="AG569" s="23"/>
      <c r="AH569" s="23"/>
      <c r="AI569" s="23"/>
      <c r="AJ569" s="23"/>
      <c r="AK569" s="23"/>
      <c r="AL569" s="23"/>
      <c r="AM569" s="23"/>
      <c r="AN569" s="23"/>
    </row>
    <row r="570" spans="13:40" x14ac:dyDescent="0.2">
      <c r="M570" s="23"/>
      <c r="N570" s="949"/>
      <c r="O570" s="23"/>
      <c r="R570" s="23"/>
      <c r="S570" s="949"/>
      <c r="T570" s="23"/>
      <c r="U570" s="23"/>
      <c r="V570" s="23"/>
      <c r="W570" s="23"/>
      <c r="X570" s="23"/>
      <c r="Y570" s="23"/>
      <c r="Z570" s="23"/>
      <c r="AA570" s="23"/>
      <c r="AB570" s="23"/>
      <c r="AC570" s="23"/>
      <c r="AD570" s="23"/>
      <c r="AE570" s="23"/>
      <c r="AF570" s="23"/>
      <c r="AG570" s="23"/>
      <c r="AH570" s="23"/>
      <c r="AI570" s="23"/>
      <c r="AJ570" s="23"/>
      <c r="AK570" s="23"/>
      <c r="AL570" s="23"/>
      <c r="AM570" s="23"/>
      <c r="AN570" s="23"/>
    </row>
    <row r="571" spans="13:40" x14ac:dyDescent="0.2">
      <c r="M571" s="23"/>
      <c r="N571" s="949"/>
      <c r="O571" s="23"/>
      <c r="R571" s="23"/>
      <c r="S571" s="949"/>
      <c r="T571" s="23"/>
      <c r="U571" s="23"/>
      <c r="V571" s="23"/>
      <c r="W571" s="23"/>
      <c r="X571" s="23"/>
      <c r="Y571" s="23"/>
      <c r="Z571" s="23"/>
      <c r="AA571" s="23"/>
      <c r="AB571" s="23"/>
      <c r="AC571" s="23"/>
      <c r="AD571" s="23"/>
      <c r="AE571" s="23"/>
      <c r="AF571" s="23"/>
      <c r="AG571" s="23"/>
      <c r="AH571" s="23"/>
      <c r="AI571" s="23"/>
      <c r="AJ571" s="23"/>
      <c r="AK571" s="23"/>
      <c r="AL571" s="23"/>
      <c r="AM571" s="23"/>
      <c r="AN571" s="23"/>
    </row>
    <row r="572" spans="13:40" x14ac:dyDescent="0.2">
      <c r="M572" s="23"/>
      <c r="N572" s="949"/>
      <c r="O572" s="23"/>
      <c r="R572" s="23"/>
      <c r="S572" s="949"/>
      <c r="T572" s="23"/>
      <c r="U572" s="23"/>
      <c r="V572" s="23"/>
      <c r="W572" s="23"/>
      <c r="X572" s="23"/>
      <c r="Y572" s="23"/>
      <c r="Z572" s="23"/>
      <c r="AA572" s="23"/>
      <c r="AB572" s="23"/>
      <c r="AC572" s="23"/>
      <c r="AD572" s="23"/>
      <c r="AE572" s="23"/>
      <c r="AF572" s="23"/>
      <c r="AG572" s="23"/>
      <c r="AH572" s="23"/>
      <c r="AI572" s="23"/>
      <c r="AJ572" s="23"/>
      <c r="AK572" s="23"/>
      <c r="AL572" s="23"/>
      <c r="AM572" s="23"/>
      <c r="AN572" s="23"/>
    </row>
    <row r="573" spans="13:40" x14ac:dyDescent="0.2">
      <c r="M573" s="23"/>
      <c r="N573" s="949"/>
      <c r="O573" s="23"/>
      <c r="R573" s="23"/>
      <c r="S573" s="949"/>
      <c r="T573" s="23"/>
      <c r="U573" s="23"/>
      <c r="V573" s="23"/>
      <c r="W573" s="23"/>
      <c r="X573" s="23"/>
      <c r="Y573" s="23"/>
      <c r="Z573" s="23"/>
      <c r="AA573" s="23"/>
      <c r="AB573" s="23"/>
      <c r="AC573" s="23"/>
      <c r="AD573" s="23"/>
      <c r="AE573" s="23"/>
      <c r="AF573" s="23"/>
      <c r="AG573" s="23"/>
      <c r="AH573" s="23"/>
      <c r="AI573" s="23"/>
      <c r="AJ573" s="23"/>
      <c r="AK573" s="23"/>
      <c r="AL573" s="23"/>
      <c r="AM573" s="23"/>
      <c r="AN573" s="23"/>
    </row>
    <row r="574" spans="13:40" x14ac:dyDescent="0.2">
      <c r="M574" s="23"/>
      <c r="N574" s="949"/>
      <c r="O574" s="23"/>
      <c r="R574" s="23"/>
      <c r="S574" s="949"/>
      <c r="T574" s="23"/>
      <c r="U574" s="23"/>
      <c r="V574" s="23"/>
      <c r="W574" s="23"/>
      <c r="X574" s="23"/>
      <c r="Y574" s="23"/>
      <c r="Z574" s="23"/>
      <c r="AA574" s="23"/>
      <c r="AB574" s="23"/>
      <c r="AC574" s="23"/>
      <c r="AD574" s="23"/>
      <c r="AE574" s="23"/>
      <c r="AF574" s="23"/>
      <c r="AG574" s="23"/>
      <c r="AH574" s="23"/>
      <c r="AI574" s="23"/>
      <c r="AJ574" s="23"/>
      <c r="AK574" s="23"/>
      <c r="AL574" s="23"/>
      <c r="AM574" s="23"/>
      <c r="AN574" s="23"/>
    </row>
    <row r="575" spans="13:40" x14ac:dyDescent="0.2">
      <c r="M575" s="23"/>
      <c r="N575" s="949"/>
      <c r="O575" s="23"/>
      <c r="R575" s="23"/>
      <c r="S575" s="949"/>
      <c r="T575" s="23"/>
      <c r="U575" s="23"/>
      <c r="V575" s="23"/>
      <c r="W575" s="23"/>
      <c r="X575" s="23"/>
      <c r="Y575" s="23"/>
      <c r="Z575" s="23"/>
      <c r="AA575" s="23"/>
      <c r="AB575" s="23"/>
      <c r="AC575" s="23"/>
      <c r="AD575" s="23"/>
      <c r="AE575" s="23"/>
      <c r="AF575" s="23"/>
      <c r="AG575" s="23"/>
      <c r="AH575" s="23"/>
      <c r="AI575" s="23"/>
      <c r="AJ575" s="23"/>
      <c r="AK575" s="23"/>
      <c r="AL575" s="23"/>
      <c r="AM575" s="23"/>
      <c r="AN575" s="23"/>
    </row>
    <row r="576" spans="13:40" x14ac:dyDescent="0.2">
      <c r="M576" s="23"/>
      <c r="N576" s="949"/>
      <c r="O576" s="23"/>
      <c r="R576" s="23"/>
      <c r="S576" s="949"/>
      <c r="T576" s="23"/>
      <c r="U576" s="23"/>
      <c r="V576" s="23"/>
      <c r="W576" s="23"/>
      <c r="X576" s="23"/>
      <c r="Y576" s="23"/>
      <c r="Z576" s="23"/>
      <c r="AA576" s="23"/>
      <c r="AB576" s="23"/>
      <c r="AC576" s="23"/>
      <c r="AD576" s="23"/>
      <c r="AE576" s="23"/>
      <c r="AF576" s="23"/>
      <c r="AG576" s="23"/>
      <c r="AH576" s="23"/>
      <c r="AI576" s="23"/>
      <c r="AJ576" s="23"/>
      <c r="AK576" s="23"/>
      <c r="AL576" s="23"/>
      <c r="AM576" s="23"/>
      <c r="AN576" s="23"/>
    </row>
    <row r="577" spans="13:40" x14ac:dyDescent="0.2">
      <c r="M577" s="23"/>
      <c r="N577" s="949"/>
      <c r="O577" s="23"/>
      <c r="R577" s="23"/>
      <c r="S577" s="949"/>
      <c r="T577" s="23"/>
      <c r="U577" s="23"/>
      <c r="V577" s="23"/>
      <c r="W577" s="23"/>
      <c r="X577" s="23"/>
      <c r="Y577" s="23"/>
      <c r="Z577" s="23"/>
      <c r="AA577" s="23"/>
      <c r="AB577" s="23"/>
      <c r="AC577" s="23"/>
      <c r="AD577" s="23"/>
      <c r="AE577" s="23"/>
      <c r="AF577" s="23"/>
      <c r="AG577" s="23"/>
      <c r="AH577" s="23"/>
      <c r="AI577" s="23"/>
      <c r="AJ577" s="23"/>
      <c r="AK577" s="23"/>
      <c r="AL577" s="23"/>
      <c r="AM577" s="23"/>
      <c r="AN577" s="23"/>
    </row>
    <row r="578" spans="13:40" x14ac:dyDescent="0.2">
      <c r="M578" s="23"/>
      <c r="N578" s="949"/>
      <c r="O578" s="23"/>
      <c r="R578" s="23"/>
      <c r="S578" s="949"/>
      <c r="T578" s="23"/>
      <c r="U578" s="23"/>
      <c r="V578" s="23"/>
      <c r="W578" s="23"/>
      <c r="X578" s="23"/>
      <c r="Y578" s="23"/>
      <c r="Z578" s="23"/>
      <c r="AA578" s="23"/>
      <c r="AB578" s="23"/>
      <c r="AC578" s="23"/>
      <c r="AD578" s="23"/>
      <c r="AE578" s="23"/>
      <c r="AF578" s="23"/>
      <c r="AG578" s="23"/>
      <c r="AH578" s="23"/>
      <c r="AI578" s="23"/>
      <c r="AJ578" s="23"/>
      <c r="AK578" s="23"/>
      <c r="AL578" s="23"/>
      <c r="AM578" s="23"/>
      <c r="AN578" s="23"/>
    </row>
    <row r="579" spans="13:40" x14ac:dyDescent="0.2">
      <c r="M579" s="23"/>
      <c r="N579" s="949"/>
      <c r="O579" s="23"/>
      <c r="R579" s="23"/>
      <c r="S579" s="949"/>
      <c r="T579" s="23"/>
      <c r="U579" s="23"/>
      <c r="V579" s="23"/>
      <c r="W579" s="23"/>
      <c r="X579" s="23"/>
      <c r="Y579" s="23"/>
      <c r="Z579" s="23"/>
      <c r="AA579" s="23"/>
      <c r="AB579" s="23"/>
      <c r="AC579" s="23"/>
      <c r="AD579" s="23"/>
      <c r="AE579" s="23"/>
      <c r="AF579" s="23"/>
      <c r="AG579" s="23"/>
      <c r="AH579" s="23"/>
      <c r="AI579" s="23"/>
      <c r="AJ579" s="23"/>
      <c r="AK579" s="23"/>
      <c r="AL579" s="23"/>
      <c r="AM579" s="23"/>
      <c r="AN579" s="23"/>
    </row>
    <row r="580" spans="13:40" x14ac:dyDescent="0.2">
      <c r="M580" s="23"/>
      <c r="N580" s="949"/>
      <c r="O580" s="23"/>
      <c r="R580" s="23"/>
      <c r="S580" s="949"/>
      <c r="T580" s="23"/>
      <c r="U580" s="23"/>
      <c r="V580" s="23"/>
      <c r="W580" s="23"/>
      <c r="X580" s="23"/>
      <c r="Y580" s="23"/>
      <c r="Z580" s="23"/>
      <c r="AA580" s="23"/>
      <c r="AB580" s="23"/>
      <c r="AC580" s="23"/>
      <c r="AD580" s="23"/>
      <c r="AE580" s="23"/>
      <c r="AF580" s="23"/>
      <c r="AG580" s="23"/>
      <c r="AH580" s="23"/>
      <c r="AI580" s="23"/>
      <c r="AJ580" s="23"/>
      <c r="AK580" s="23"/>
      <c r="AL580" s="23"/>
      <c r="AM580" s="23"/>
      <c r="AN580" s="23"/>
    </row>
    <row r="581" spans="13:40" x14ac:dyDescent="0.2">
      <c r="M581" s="23"/>
      <c r="N581" s="949"/>
      <c r="O581" s="23"/>
      <c r="R581" s="23"/>
      <c r="S581" s="949"/>
      <c r="T581" s="23"/>
      <c r="U581" s="23"/>
      <c r="V581" s="23"/>
      <c r="W581" s="23"/>
      <c r="X581" s="23"/>
      <c r="Y581" s="23"/>
      <c r="Z581" s="23"/>
      <c r="AA581" s="23"/>
      <c r="AB581" s="23"/>
      <c r="AC581" s="23"/>
      <c r="AD581" s="23"/>
      <c r="AE581" s="23"/>
      <c r="AF581" s="23"/>
      <c r="AG581" s="23"/>
      <c r="AH581" s="23"/>
      <c r="AI581" s="23"/>
      <c r="AJ581" s="23"/>
      <c r="AK581" s="23"/>
      <c r="AL581" s="23"/>
      <c r="AM581" s="23"/>
      <c r="AN581" s="23"/>
    </row>
    <row r="582" spans="13:40" x14ac:dyDescent="0.2">
      <c r="M582" s="23"/>
      <c r="N582" s="949"/>
      <c r="O582" s="23"/>
      <c r="R582" s="23"/>
      <c r="S582" s="949"/>
      <c r="T582" s="23"/>
      <c r="U582" s="23"/>
      <c r="V582" s="23"/>
      <c r="W582" s="23"/>
      <c r="X582" s="23"/>
      <c r="Y582" s="23"/>
      <c r="Z582" s="23"/>
      <c r="AA582" s="23"/>
      <c r="AB582" s="23"/>
      <c r="AC582" s="23"/>
      <c r="AD582" s="23"/>
      <c r="AE582" s="23"/>
      <c r="AF582" s="23"/>
      <c r="AG582" s="23"/>
      <c r="AH582" s="23"/>
      <c r="AI582" s="23"/>
      <c r="AJ582" s="23"/>
      <c r="AK582" s="23"/>
      <c r="AL582" s="23"/>
      <c r="AM582" s="23"/>
      <c r="AN582" s="23"/>
    </row>
    <row r="583" spans="13:40" x14ac:dyDescent="0.2">
      <c r="M583" s="23"/>
      <c r="N583" s="949"/>
      <c r="O583" s="23"/>
      <c r="R583" s="23"/>
      <c r="S583" s="949"/>
      <c r="T583" s="23"/>
      <c r="U583" s="23"/>
      <c r="V583" s="23"/>
      <c r="W583" s="23"/>
      <c r="X583" s="23"/>
      <c r="Y583" s="23"/>
      <c r="Z583" s="23"/>
      <c r="AA583" s="23"/>
      <c r="AB583" s="23"/>
      <c r="AC583" s="23"/>
      <c r="AD583" s="23"/>
      <c r="AE583" s="23"/>
      <c r="AF583" s="23"/>
      <c r="AG583" s="23"/>
      <c r="AH583" s="23"/>
      <c r="AI583" s="23"/>
      <c r="AJ583" s="23"/>
      <c r="AK583" s="23"/>
      <c r="AL583" s="23"/>
      <c r="AM583" s="23"/>
      <c r="AN583" s="23"/>
    </row>
    <row r="584" spans="13:40" x14ac:dyDescent="0.2">
      <c r="M584" s="23"/>
      <c r="N584" s="949"/>
      <c r="O584" s="23"/>
      <c r="R584" s="23"/>
      <c r="S584" s="949"/>
      <c r="T584" s="23"/>
      <c r="U584" s="23"/>
      <c r="V584" s="23"/>
      <c r="W584" s="23"/>
      <c r="X584" s="23"/>
      <c r="Y584" s="23"/>
      <c r="Z584" s="23"/>
      <c r="AA584" s="23"/>
      <c r="AB584" s="23"/>
      <c r="AC584" s="23"/>
      <c r="AD584" s="23"/>
      <c r="AE584" s="23"/>
      <c r="AF584" s="23"/>
      <c r="AG584" s="23"/>
      <c r="AH584" s="23"/>
      <c r="AI584" s="23"/>
      <c r="AJ584" s="23"/>
      <c r="AK584" s="23"/>
      <c r="AL584" s="23"/>
      <c r="AM584" s="23"/>
      <c r="AN584" s="23"/>
    </row>
    <row r="585" spans="13:40" x14ac:dyDescent="0.2">
      <c r="M585" s="23"/>
      <c r="N585" s="949"/>
      <c r="O585" s="23"/>
      <c r="R585" s="23"/>
      <c r="S585" s="949"/>
      <c r="T585" s="23"/>
      <c r="U585" s="23"/>
      <c r="V585" s="23"/>
      <c r="W585" s="23"/>
      <c r="X585" s="23"/>
      <c r="Y585" s="23"/>
      <c r="Z585" s="23"/>
      <c r="AA585" s="23"/>
      <c r="AB585" s="23"/>
      <c r="AC585" s="23"/>
      <c r="AD585" s="23"/>
      <c r="AE585" s="23"/>
      <c r="AF585" s="23"/>
      <c r="AG585" s="23"/>
      <c r="AH585" s="23"/>
      <c r="AI585" s="23"/>
      <c r="AJ585" s="23"/>
      <c r="AK585" s="23"/>
      <c r="AL585" s="23"/>
      <c r="AM585" s="23"/>
      <c r="AN585" s="23"/>
    </row>
    <row r="586" spans="13:40" x14ac:dyDescent="0.2">
      <c r="M586" s="23"/>
      <c r="N586" s="949"/>
      <c r="O586" s="23"/>
      <c r="R586" s="23"/>
      <c r="S586" s="949"/>
      <c r="T586" s="23"/>
      <c r="U586" s="23"/>
      <c r="V586" s="23"/>
      <c r="W586" s="23"/>
      <c r="X586" s="23"/>
      <c r="Y586" s="23"/>
      <c r="Z586" s="23"/>
      <c r="AA586" s="23"/>
      <c r="AB586" s="23"/>
      <c r="AC586" s="23"/>
      <c r="AD586" s="23"/>
      <c r="AE586" s="23"/>
      <c r="AF586" s="23"/>
      <c r="AG586" s="23"/>
      <c r="AH586" s="23"/>
      <c r="AI586" s="23"/>
      <c r="AJ586" s="23"/>
      <c r="AK586" s="23"/>
      <c r="AL586" s="23"/>
      <c r="AM586" s="23"/>
      <c r="AN586" s="23"/>
    </row>
    <row r="587" spans="13:40" x14ac:dyDescent="0.2">
      <c r="M587" s="23"/>
      <c r="N587" s="949"/>
      <c r="O587" s="23"/>
      <c r="R587" s="23"/>
      <c r="S587" s="949"/>
      <c r="T587" s="23"/>
      <c r="U587" s="23"/>
      <c r="V587" s="23"/>
      <c r="W587" s="23"/>
      <c r="X587" s="23"/>
      <c r="Y587" s="23"/>
      <c r="Z587" s="23"/>
      <c r="AA587" s="23"/>
      <c r="AB587" s="23"/>
      <c r="AC587" s="23"/>
      <c r="AD587" s="23"/>
      <c r="AE587" s="23"/>
      <c r="AF587" s="23"/>
      <c r="AG587" s="23"/>
      <c r="AH587" s="23"/>
      <c r="AI587" s="23"/>
      <c r="AJ587" s="23"/>
      <c r="AK587" s="23"/>
      <c r="AL587" s="23"/>
      <c r="AM587" s="23"/>
      <c r="AN587" s="23"/>
    </row>
    <row r="588" spans="13:40" x14ac:dyDescent="0.2">
      <c r="M588" s="23"/>
      <c r="N588" s="949"/>
      <c r="O588" s="23"/>
      <c r="R588" s="23"/>
      <c r="S588" s="949"/>
      <c r="T588" s="23"/>
      <c r="U588" s="23"/>
      <c r="V588" s="23"/>
      <c r="W588" s="23"/>
      <c r="X588" s="23"/>
      <c r="Y588" s="23"/>
      <c r="Z588" s="23"/>
      <c r="AA588" s="23"/>
      <c r="AB588" s="23"/>
      <c r="AC588" s="23"/>
      <c r="AD588" s="23"/>
      <c r="AE588" s="23"/>
      <c r="AF588" s="23"/>
      <c r="AG588" s="23"/>
      <c r="AH588" s="23"/>
      <c r="AI588" s="23"/>
      <c r="AJ588" s="23"/>
      <c r="AK588" s="23"/>
      <c r="AL588" s="23"/>
      <c r="AM588" s="23"/>
      <c r="AN588" s="23"/>
    </row>
    <row r="589" spans="13:40" x14ac:dyDescent="0.2">
      <c r="M589" s="23"/>
      <c r="N589" s="949"/>
      <c r="O589" s="23"/>
      <c r="R589" s="23"/>
      <c r="S589" s="949"/>
      <c r="T589" s="23"/>
      <c r="U589" s="23"/>
      <c r="V589" s="23"/>
      <c r="W589" s="23"/>
      <c r="X589" s="23"/>
      <c r="Y589" s="23"/>
      <c r="Z589" s="23"/>
      <c r="AA589" s="23"/>
      <c r="AB589" s="23"/>
      <c r="AC589" s="23"/>
      <c r="AD589" s="23"/>
      <c r="AE589" s="23"/>
      <c r="AF589" s="23"/>
      <c r="AG589" s="23"/>
      <c r="AH589" s="23"/>
      <c r="AI589" s="23"/>
      <c r="AJ589" s="23"/>
      <c r="AK589" s="23"/>
      <c r="AL589" s="23"/>
      <c r="AM589" s="23"/>
      <c r="AN589" s="23"/>
    </row>
    <row r="590" spans="13:40" x14ac:dyDescent="0.2">
      <c r="M590" s="23"/>
      <c r="N590" s="949"/>
      <c r="O590" s="23"/>
      <c r="R590" s="23"/>
      <c r="S590" s="949"/>
      <c r="T590" s="23"/>
      <c r="U590" s="23"/>
      <c r="V590" s="23"/>
      <c r="W590" s="23"/>
      <c r="X590" s="23"/>
      <c r="Y590" s="23"/>
      <c r="Z590" s="23"/>
      <c r="AA590" s="23"/>
      <c r="AB590" s="23"/>
      <c r="AC590" s="23"/>
      <c r="AD590" s="23"/>
      <c r="AE590" s="23"/>
      <c r="AF590" s="23"/>
      <c r="AG590" s="23"/>
      <c r="AH590" s="23"/>
      <c r="AI590" s="23"/>
      <c r="AJ590" s="23"/>
      <c r="AK590" s="23"/>
      <c r="AL590" s="23"/>
      <c r="AM590" s="23"/>
      <c r="AN590" s="23"/>
    </row>
    <row r="591" spans="13:40" x14ac:dyDescent="0.2">
      <c r="M591" s="23"/>
      <c r="N591" s="949"/>
      <c r="O591" s="23"/>
      <c r="R591" s="23"/>
      <c r="S591" s="949"/>
      <c r="T591" s="23"/>
      <c r="U591" s="23"/>
      <c r="V591" s="23"/>
      <c r="W591" s="23"/>
      <c r="X591" s="23"/>
      <c r="Y591" s="23"/>
      <c r="Z591" s="23"/>
      <c r="AA591" s="23"/>
      <c r="AB591" s="23"/>
      <c r="AC591" s="23"/>
      <c r="AD591" s="23"/>
      <c r="AE591" s="23"/>
      <c r="AF591" s="23"/>
      <c r="AG591" s="23"/>
      <c r="AH591" s="23"/>
      <c r="AI591" s="23"/>
      <c r="AJ591" s="23"/>
      <c r="AK591" s="23"/>
      <c r="AL591" s="23"/>
      <c r="AM591" s="23"/>
      <c r="AN591" s="23"/>
    </row>
    <row r="592" spans="13:40" x14ac:dyDescent="0.2">
      <c r="M592" s="23"/>
      <c r="N592" s="949"/>
      <c r="O592" s="23"/>
      <c r="R592" s="23"/>
      <c r="S592" s="949"/>
      <c r="T592" s="23"/>
      <c r="U592" s="23"/>
      <c r="V592" s="23"/>
      <c r="W592" s="23"/>
      <c r="X592" s="23"/>
      <c r="Y592" s="23"/>
      <c r="Z592" s="23"/>
      <c r="AA592" s="23"/>
      <c r="AB592" s="23"/>
      <c r="AC592" s="23"/>
      <c r="AD592" s="23"/>
      <c r="AE592" s="23"/>
      <c r="AF592" s="23"/>
      <c r="AG592" s="23"/>
      <c r="AH592" s="23"/>
      <c r="AI592" s="23"/>
      <c r="AJ592" s="23"/>
      <c r="AK592" s="23"/>
      <c r="AL592" s="23"/>
      <c r="AM592" s="23"/>
      <c r="AN592" s="23"/>
    </row>
    <row r="593" spans="13:40" x14ac:dyDescent="0.2">
      <c r="M593" s="23"/>
      <c r="N593" s="949"/>
      <c r="O593" s="23"/>
      <c r="R593" s="23"/>
      <c r="S593" s="949"/>
      <c r="T593" s="23"/>
      <c r="U593" s="23"/>
      <c r="V593" s="23"/>
      <c r="W593" s="23"/>
      <c r="X593" s="23"/>
      <c r="Y593" s="23"/>
      <c r="Z593" s="23"/>
      <c r="AA593" s="23"/>
      <c r="AB593" s="23"/>
      <c r="AC593" s="23"/>
      <c r="AD593" s="23"/>
      <c r="AE593" s="23"/>
      <c r="AF593" s="23"/>
      <c r="AG593" s="23"/>
      <c r="AH593" s="23"/>
      <c r="AI593" s="23"/>
      <c r="AJ593" s="23"/>
      <c r="AK593" s="23"/>
      <c r="AL593" s="23"/>
      <c r="AM593" s="23"/>
      <c r="AN593" s="23"/>
    </row>
    <row r="594" spans="13:40" x14ac:dyDescent="0.2">
      <c r="M594" s="23"/>
      <c r="N594" s="949"/>
      <c r="O594" s="23"/>
      <c r="R594" s="23"/>
      <c r="S594" s="949"/>
      <c r="T594" s="23"/>
      <c r="U594" s="23"/>
      <c r="V594" s="23"/>
      <c r="W594" s="23"/>
      <c r="X594" s="23"/>
      <c r="Y594" s="23"/>
      <c r="Z594" s="23"/>
      <c r="AA594" s="23"/>
      <c r="AB594" s="23"/>
      <c r="AC594" s="23"/>
      <c r="AD594" s="23"/>
      <c r="AE594" s="23"/>
      <c r="AF594" s="23"/>
      <c r="AG594" s="23"/>
      <c r="AH594" s="23"/>
      <c r="AI594" s="23"/>
      <c r="AJ594" s="23"/>
      <c r="AK594" s="23"/>
      <c r="AL594" s="23"/>
      <c r="AM594" s="23"/>
      <c r="AN594" s="23"/>
    </row>
    <row r="595" spans="13:40" x14ac:dyDescent="0.2">
      <c r="M595" s="23"/>
      <c r="N595" s="949"/>
      <c r="O595" s="23"/>
      <c r="R595" s="23"/>
      <c r="S595" s="949"/>
      <c r="T595" s="23"/>
      <c r="U595" s="23"/>
      <c r="V595" s="23"/>
      <c r="W595" s="23"/>
      <c r="X595" s="23"/>
      <c r="Y595" s="23"/>
      <c r="Z595" s="23"/>
      <c r="AA595" s="23"/>
      <c r="AB595" s="23"/>
      <c r="AC595" s="23"/>
      <c r="AD595" s="23"/>
      <c r="AE595" s="23"/>
      <c r="AF595" s="23"/>
      <c r="AG595" s="23"/>
      <c r="AH595" s="23"/>
      <c r="AI595" s="23"/>
      <c r="AJ595" s="23"/>
      <c r="AK595" s="23"/>
      <c r="AL595" s="23"/>
      <c r="AM595" s="23"/>
      <c r="AN595" s="23"/>
    </row>
    <row r="596" spans="13:40" x14ac:dyDescent="0.2">
      <c r="M596" s="23"/>
      <c r="N596" s="949"/>
      <c r="O596" s="23"/>
      <c r="R596" s="23"/>
      <c r="S596" s="949"/>
      <c r="T596" s="23"/>
      <c r="U596" s="23"/>
      <c r="V596" s="23"/>
      <c r="W596" s="23"/>
      <c r="X596" s="23"/>
      <c r="Y596" s="23"/>
      <c r="Z596" s="23"/>
      <c r="AA596" s="23"/>
      <c r="AB596" s="23"/>
      <c r="AC596" s="23"/>
      <c r="AD596" s="23"/>
      <c r="AE596" s="23"/>
      <c r="AF596" s="23"/>
      <c r="AG596" s="23"/>
      <c r="AH596" s="23"/>
      <c r="AI596" s="23"/>
      <c r="AJ596" s="23"/>
      <c r="AK596" s="23"/>
      <c r="AL596" s="23"/>
      <c r="AM596" s="23"/>
      <c r="AN596" s="23"/>
    </row>
    <row r="597" spans="13:40" x14ac:dyDescent="0.2">
      <c r="M597" s="23"/>
      <c r="N597" s="949"/>
      <c r="O597" s="23"/>
      <c r="R597" s="23"/>
      <c r="S597" s="949"/>
      <c r="T597" s="23"/>
      <c r="U597" s="23"/>
      <c r="V597" s="23"/>
      <c r="W597" s="23"/>
      <c r="X597" s="23"/>
      <c r="Y597" s="23"/>
      <c r="Z597" s="23"/>
      <c r="AA597" s="23"/>
      <c r="AB597" s="23"/>
      <c r="AC597" s="23"/>
      <c r="AD597" s="23"/>
      <c r="AE597" s="23"/>
      <c r="AF597" s="23"/>
      <c r="AG597" s="23"/>
      <c r="AH597" s="23"/>
      <c r="AI597" s="23"/>
      <c r="AJ597" s="23"/>
      <c r="AK597" s="23"/>
      <c r="AL597" s="23"/>
      <c r="AM597" s="23"/>
      <c r="AN597" s="23"/>
    </row>
    <row r="598" spans="13:40" x14ac:dyDescent="0.2">
      <c r="M598" s="23"/>
      <c r="N598" s="949"/>
      <c r="O598" s="23"/>
      <c r="R598" s="23"/>
      <c r="S598" s="949"/>
      <c r="T598" s="23"/>
      <c r="U598" s="23"/>
      <c r="V598" s="23"/>
      <c r="W598" s="23"/>
      <c r="X598" s="23"/>
      <c r="Y598" s="23"/>
      <c r="Z598" s="23"/>
      <c r="AA598" s="23"/>
      <c r="AB598" s="23"/>
      <c r="AC598" s="23"/>
      <c r="AD598" s="23"/>
      <c r="AE598" s="23"/>
      <c r="AF598" s="23"/>
      <c r="AG598" s="23"/>
      <c r="AH598" s="23"/>
      <c r="AI598" s="23"/>
      <c r="AJ598" s="23"/>
      <c r="AK598" s="23"/>
      <c r="AL598" s="23"/>
      <c r="AM598" s="23"/>
      <c r="AN598" s="23"/>
    </row>
    <row r="599" spans="13:40" x14ac:dyDescent="0.2">
      <c r="M599" s="23"/>
      <c r="N599" s="949"/>
      <c r="O599" s="23"/>
      <c r="R599" s="23"/>
      <c r="S599" s="949"/>
      <c r="T599" s="23"/>
      <c r="U599" s="23"/>
      <c r="V599" s="23"/>
      <c r="W599" s="23"/>
      <c r="X599" s="23"/>
      <c r="Y599" s="23"/>
      <c r="Z599" s="23"/>
      <c r="AA599" s="23"/>
      <c r="AB599" s="23"/>
      <c r="AC599" s="23"/>
      <c r="AD599" s="23"/>
      <c r="AE599" s="23"/>
      <c r="AF599" s="23"/>
      <c r="AG599" s="23"/>
      <c r="AH599" s="23"/>
      <c r="AI599" s="23"/>
      <c r="AJ599" s="23"/>
      <c r="AK599" s="23"/>
      <c r="AL599" s="23"/>
      <c r="AM599" s="23"/>
      <c r="AN599" s="23"/>
    </row>
    <row r="600" spans="13:40" x14ac:dyDescent="0.2">
      <c r="M600" s="23"/>
      <c r="N600" s="949"/>
      <c r="O600" s="23"/>
      <c r="R600" s="23"/>
      <c r="S600" s="949"/>
      <c r="T600" s="23"/>
      <c r="U600" s="23"/>
      <c r="V600" s="23"/>
      <c r="W600" s="23"/>
      <c r="X600" s="23"/>
      <c r="Y600" s="23"/>
      <c r="Z600" s="23"/>
      <c r="AA600" s="23"/>
      <c r="AB600" s="23"/>
      <c r="AC600" s="23"/>
      <c r="AD600" s="23"/>
      <c r="AE600" s="23"/>
      <c r="AF600" s="23"/>
      <c r="AG600" s="23"/>
      <c r="AH600" s="23"/>
      <c r="AI600" s="23"/>
      <c r="AJ600" s="23"/>
      <c r="AK600" s="23"/>
      <c r="AL600" s="23"/>
      <c r="AM600" s="23"/>
      <c r="AN600" s="23"/>
    </row>
    <row r="601" spans="13:40" x14ac:dyDescent="0.2">
      <c r="M601" s="23"/>
      <c r="N601" s="949"/>
      <c r="O601" s="23"/>
      <c r="R601" s="23"/>
      <c r="S601" s="949"/>
      <c r="T601" s="23"/>
      <c r="U601" s="23"/>
      <c r="V601" s="23"/>
      <c r="W601" s="23"/>
      <c r="X601" s="23"/>
      <c r="Y601" s="23"/>
      <c r="Z601" s="23"/>
      <c r="AA601" s="23"/>
      <c r="AB601" s="23"/>
      <c r="AC601" s="23"/>
      <c r="AD601" s="23"/>
      <c r="AE601" s="23"/>
      <c r="AF601" s="23"/>
      <c r="AG601" s="23"/>
      <c r="AH601" s="23"/>
      <c r="AI601" s="23"/>
      <c r="AJ601" s="23"/>
      <c r="AK601" s="23"/>
      <c r="AL601" s="23"/>
      <c r="AM601" s="23"/>
      <c r="AN601" s="23"/>
    </row>
    <row r="602" spans="13:40" x14ac:dyDescent="0.2">
      <c r="M602" s="23"/>
      <c r="N602" s="949"/>
      <c r="O602" s="23"/>
      <c r="R602" s="23"/>
      <c r="S602" s="949"/>
      <c r="T602" s="23"/>
      <c r="U602" s="23"/>
      <c r="V602" s="23"/>
      <c r="W602" s="23"/>
      <c r="X602" s="23"/>
      <c r="Y602" s="23"/>
      <c r="Z602" s="23"/>
      <c r="AA602" s="23"/>
      <c r="AB602" s="23"/>
      <c r="AC602" s="23"/>
      <c r="AD602" s="23"/>
      <c r="AE602" s="23"/>
      <c r="AF602" s="23"/>
      <c r="AG602" s="23"/>
      <c r="AH602" s="23"/>
      <c r="AI602" s="23"/>
      <c r="AJ602" s="23"/>
      <c r="AK602" s="23"/>
      <c r="AL602" s="23"/>
      <c r="AM602" s="23"/>
      <c r="AN602" s="23"/>
    </row>
    <row r="603" spans="13:40" x14ac:dyDescent="0.2">
      <c r="M603" s="23"/>
      <c r="N603" s="949"/>
      <c r="O603" s="23"/>
      <c r="R603" s="23"/>
      <c r="S603" s="949"/>
      <c r="T603" s="23"/>
      <c r="U603" s="23"/>
      <c r="V603" s="23"/>
      <c r="W603" s="23"/>
      <c r="X603" s="23"/>
      <c r="Y603" s="23"/>
      <c r="Z603" s="23"/>
      <c r="AA603" s="23"/>
      <c r="AB603" s="23"/>
      <c r="AC603" s="23"/>
      <c r="AD603" s="23"/>
      <c r="AE603" s="23"/>
      <c r="AF603" s="23"/>
      <c r="AG603" s="23"/>
      <c r="AH603" s="23"/>
      <c r="AI603" s="23"/>
      <c r="AJ603" s="23"/>
      <c r="AK603" s="23"/>
      <c r="AL603" s="23"/>
      <c r="AM603" s="23"/>
      <c r="AN603" s="23"/>
    </row>
    <row r="604" spans="13:40" x14ac:dyDescent="0.2">
      <c r="M604" s="23"/>
      <c r="N604" s="949"/>
      <c r="O604" s="23"/>
      <c r="R604" s="23"/>
      <c r="S604" s="949"/>
      <c r="T604" s="23"/>
      <c r="U604" s="23"/>
      <c r="V604" s="23"/>
      <c r="W604" s="23"/>
      <c r="X604" s="23"/>
      <c r="Y604" s="23"/>
      <c r="Z604" s="23"/>
      <c r="AA604" s="23"/>
      <c r="AB604" s="23"/>
      <c r="AC604" s="23"/>
      <c r="AD604" s="23"/>
      <c r="AE604" s="23"/>
      <c r="AF604" s="23"/>
      <c r="AG604" s="23"/>
      <c r="AH604" s="23"/>
      <c r="AI604" s="23"/>
      <c r="AJ604" s="23"/>
      <c r="AK604" s="23"/>
      <c r="AL604" s="23"/>
      <c r="AM604" s="23"/>
      <c r="AN604" s="23"/>
    </row>
    <row r="605" spans="13:40" x14ac:dyDescent="0.2">
      <c r="M605" s="23"/>
      <c r="N605" s="949"/>
      <c r="O605" s="23"/>
      <c r="R605" s="23"/>
      <c r="S605" s="949"/>
      <c r="T605" s="23"/>
      <c r="U605" s="23"/>
      <c r="V605" s="23"/>
      <c r="W605" s="23"/>
      <c r="X605" s="23"/>
      <c r="Y605" s="23"/>
      <c r="Z605" s="23"/>
      <c r="AA605" s="23"/>
      <c r="AB605" s="23"/>
      <c r="AC605" s="23"/>
      <c r="AD605" s="23"/>
      <c r="AE605" s="23"/>
      <c r="AF605" s="23"/>
      <c r="AG605" s="23"/>
      <c r="AH605" s="23"/>
      <c r="AI605" s="23"/>
      <c r="AJ605" s="23"/>
      <c r="AK605" s="23"/>
      <c r="AL605" s="23"/>
      <c r="AM605" s="23"/>
      <c r="AN605" s="23"/>
    </row>
    <row r="606" spans="13:40" x14ac:dyDescent="0.2">
      <c r="M606" s="23"/>
      <c r="N606" s="949"/>
      <c r="O606" s="23"/>
      <c r="R606" s="23"/>
      <c r="S606" s="949"/>
      <c r="T606" s="23"/>
      <c r="U606" s="23"/>
      <c r="V606" s="23"/>
      <c r="W606" s="23"/>
      <c r="X606" s="23"/>
      <c r="Y606" s="23"/>
      <c r="Z606" s="23"/>
      <c r="AA606" s="23"/>
      <c r="AB606" s="23"/>
      <c r="AC606" s="23"/>
      <c r="AD606" s="23"/>
      <c r="AE606" s="23"/>
      <c r="AF606" s="23"/>
      <c r="AG606" s="23"/>
      <c r="AH606" s="23"/>
      <c r="AI606" s="23"/>
      <c r="AJ606" s="23"/>
      <c r="AK606" s="23"/>
      <c r="AL606" s="23"/>
      <c r="AM606" s="23"/>
      <c r="AN606" s="23"/>
    </row>
    <row r="607" spans="13:40" x14ac:dyDescent="0.2">
      <c r="M607" s="23"/>
      <c r="N607" s="949"/>
      <c r="O607" s="23"/>
      <c r="R607" s="23"/>
      <c r="S607" s="949"/>
      <c r="T607" s="23"/>
      <c r="U607" s="23"/>
      <c r="V607" s="23"/>
      <c r="W607" s="23"/>
      <c r="X607" s="23"/>
      <c r="Y607" s="23"/>
      <c r="Z607" s="23"/>
      <c r="AA607" s="23"/>
      <c r="AB607" s="23"/>
      <c r="AC607" s="23"/>
      <c r="AD607" s="23"/>
      <c r="AE607" s="23"/>
      <c r="AF607" s="23"/>
      <c r="AG607" s="23"/>
      <c r="AH607" s="23"/>
      <c r="AI607" s="23"/>
      <c r="AJ607" s="23"/>
      <c r="AK607" s="23"/>
      <c r="AL607" s="23"/>
      <c r="AM607" s="23"/>
      <c r="AN607" s="23"/>
    </row>
    <row r="608" spans="13:40" x14ac:dyDescent="0.2">
      <c r="M608" s="23"/>
      <c r="N608" s="949"/>
      <c r="O608" s="23"/>
      <c r="R608" s="23"/>
      <c r="S608" s="949"/>
      <c r="T608" s="23"/>
      <c r="U608" s="23"/>
      <c r="V608" s="23"/>
      <c r="W608" s="23"/>
      <c r="X608" s="23"/>
      <c r="Y608" s="23"/>
      <c r="Z608" s="23"/>
      <c r="AA608" s="23"/>
      <c r="AB608" s="23"/>
      <c r="AC608" s="23"/>
      <c r="AD608" s="23"/>
      <c r="AE608" s="23"/>
      <c r="AF608" s="23"/>
      <c r="AG608" s="23"/>
      <c r="AH608" s="23"/>
      <c r="AI608" s="23"/>
      <c r="AJ608" s="23"/>
      <c r="AK608" s="23"/>
      <c r="AL608" s="23"/>
      <c r="AM608" s="23"/>
      <c r="AN608" s="23"/>
    </row>
    <row r="609" spans="13:40" x14ac:dyDescent="0.2">
      <c r="M609" s="23"/>
      <c r="N609" s="949"/>
      <c r="O609" s="23"/>
      <c r="R609" s="23"/>
      <c r="S609" s="949"/>
      <c r="T609" s="23"/>
      <c r="U609" s="23"/>
      <c r="V609" s="23"/>
      <c r="W609" s="23"/>
      <c r="X609" s="23"/>
      <c r="Y609" s="23"/>
      <c r="Z609" s="23"/>
      <c r="AA609" s="23"/>
      <c r="AB609" s="23"/>
      <c r="AC609" s="23"/>
      <c r="AD609" s="23"/>
      <c r="AE609" s="23"/>
      <c r="AF609" s="23"/>
      <c r="AG609" s="23"/>
      <c r="AH609" s="23"/>
      <c r="AI609" s="23"/>
      <c r="AJ609" s="23"/>
      <c r="AK609" s="23"/>
      <c r="AL609" s="23"/>
      <c r="AM609" s="23"/>
      <c r="AN609" s="23"/>
    </row>
    <row r="610" spans="13:40" x14ac:dyDescent="0.2">
      <c r="M610" s="23"/>
      <c r="N610" s="949"/>
      <c r="O610" s="23"/>
      <c r="R610" s="23"/>
      <c r="S610" s="949"/>
      <c r="T610" s="23"/>
      <c r="U610" s="23"/>
      <c r="V610" s="23"/>
      <c r="W610" s="23"/>
      <c r="X610" s="23"/>
      <c r="Y610" s="23"/>
      <c r="Z610" s="23"/>
      <c r="AA610" s="23"/>
      <c r="AB610" s="23"/>
      <c r="AC610" s="23"/>
      <c r="AD610" s="23"/>
      <c r="AE610" s="23"/>
      <c r="AF610" s="23"/>
      <c r="AG610" s="23"/>
      <c r="AH610" s="23"/>
      <c r="AI610" s="23"/>
      <c r="AJ610" s="23"/>
      <c r="AK610" s="23"/>
      <c r="AL610" s="23"/>
      <c r="AM610" s="23"/>
      <c r="AN610" s="23"/>
    </row>
    <row r="611" spans="13:40" x14ac:dyDescent="0.2">
      <c r="M611" s="23"/>
      <c r="N611" s="949"/>
      <c r="O611" s="23"/>
      <c r="R611" s="23"/>
      <c r="S611" s="949"/>
      <c r="T611" s="23"/>
      <c r="U611" s="23"/>
      <c r="V611" s="23"/>
      <c r="W611" s="23"/>
      <c r="X611" s="23"/>
      <c r="Y611" s="23"/>
      <c r="Z611" s="23"/>
      <c r="AA611" s="23"/>
      <c r="AB611" s="23"/>
      <c r="AC611" s="23"/>
      <c r="AD611" s="23"/>
      <c r="AE611" s="23"/>
      <c r="AF611" s="23"/>
      <c r="AG611" s="23"/>
      <c r="AH611" s="23"/>
      <c r="AI611" s="23"/>
      <c r="AJ611" s="23"/>
      <c r="AK611" s="23"/>
      <c r="AL611" s="23"/>
      <c r="AM611" s="23"/>
      <c r="AN611" s="23"/>
    </row>
    <row r="612" spans="13:40" x14ac:dyDescent="0.2">
      <c r="M612" s="23"/>
      <c r="N612" s="949"/>
      <c r="O612" s="23"/>
      <c r="R612" s="23"/>
      <c r="S612" s="949"/>
      <c r="T612" s="23"/>
      <c r="U612" s="23"/>
      <c r="V612" s="23"/>
      <c r="W612" s="23"/>
      <c r="X612" s="23"/>
      <c r="Y612" s="23"/>
      <c r="Z612" s="23"/>
      <c r="AA612" s="23"/>
      <c r="AB612" s="23"/>
      <c r="AC612" s="23"/>
      <c r="AD612" s="23"/>
      <c r="AE612" s="23"/>
      <c r="AF612" s="23"/>
      <c r="AG612" s="23"/>
      <c r="AH612" s="23"/>
      <c r="AI612" s="23"/>
      <c r="AJ612" s="23"/>
      <c r="AK612" s="23"/>
      <c r="AL612" s="23"/>
      <c r="AM612" s="23"/>
      <c r="AN612" s="23"/>
    </row>
    <row r="613" spans="13:40" x14ac:dyDescent="0.2">
      <c r="M613" s="23"/>
      <c r="N613" s="949"/>
      <c r="O613" s="23"/>
      <c r="R613" s="23"/>
      <c r="S613" s="949"/>
      <c r="T613" s="23"/>
      <c r="U613" s="23"/>
      <c r="V613" s="23"/>
      <c r="W613" s="23"/>
      <c r="X613" s="23"/>
      <c r="Y613" s="23"/>
      <c r="Z613" s="23"/>
      <c r="AA613" s="23"/>
      <c r="AB613" s="23"/>
      <c r="AC613" s="23"/>
      <c r="AD613" s="23"/>
      <c r="AE613" s="23"/>
      <c r="AF613" s="23"/>
      <c r="AG613" s="23"/>
      <c r="AH613" s="23"/>
      <c r="AI613" s="23"/>
      <c r="AJ613" s="23"/>
      <c r="AK613" s="23"/>
      <c r="AL613" s="23"/>
      <c r="AM613" s="23"/>
      <c r="AN613" s="23"/>
    </row>
    <row r="614" spans="13:40" x14ac:dyDescent="0.2">
      <c r="M614" s="23"/>
      <c r="N614" s="949"/>
      <c r="O614" s="23"/>
      <c r="R614" s="23"/>
      <c r="S614" s="949"/>
      <c r="T614" s="23"/>
      <c r="U614" s="23"/>
      <c r="V614" s="23"/>
      <c r="W614" s="23"/>
      <c r="X614" s="23"/>
      <c r="Y614" s="23"/>
      <c r="Z614" s="23"/>
      <c r="AA614" s="23"/>
      <c r="AB614" s="23"/>
      <c r="AC614" s="23"/>
      <c r="AD614" s="23"/>
      <c r="AE614" s="23"/>
      <c r="AF614" s="23"/>
      <c r="AG614" s="23"/>
      <c r="AH614" s="23"/>
      <c r="AI614" s="23"/>
      <c r="AJ614" s="23"/>
      <c r="AK614" s="23"/>
      <c r="AL614" s="23"/>
      <c r="AM614" s="23"/>
      <c r="AN614" s="23"/>
    </row>
    <row r="615" spans="13:40" x14ac:dyDescent="0.2">
      <c r="M615" s="23"/>
      <c r="N615" s="949"/>
      <c r="O615" s="23"/>
      <c r="R615" s="23"/>
      <c r="S615" s="949"/>
      <c r="T615" s="23"/>
      <c r="U615" s="23"/>
      <c r="V615" s="23"/>
      <c r="W615" s="23"/>
      <c r="X615" s="23"/>
      <c r="Y615" s="23"/>
      <c r="Z615" s="23"/>
      <c r="AA615" s="23"/>
      <c r="AB615" s="23"/>
      <c r="AC615" s="23"/>
      <c r="AD615" s="23"/>
      <c r="AE615" s="23"/>
      <c r="AF615" s="23"/>
      <c r="AG615" s="23"/>
      <c r="AH615" s="23"/>
      <c r="AI615" s="23"/>
      <c r="AJ615" s="23"/>
      <c r="AK615" s="23"/>
      <c r="AL615" s="23"/>
      <c r="AM615" s="23"/>
      <c r="AN615" s="23"/>
    </row>
    <row r="616" spans="13:40" x14ac:dyDescent="0.2">
      <c r="M616" s="23"/>
      <c r="N616" s="949"/>
      <c r="O616" s="23"/>
      <c r="R616" s="23"/>
      <c r="S616" s="949"/>
      <c r="T616" s="23"/>
      <c r="U616" s="23"/>
      <c r="V616" s="23"/>
      <c r="W616" s="23"/>
      <c r="X616" s="23"/>
      <c r="Y616" s="23"/>
      <c r="Z616" s="23"/>
      <c r="AA616" s="23"/>
      <c r="AB616" s="23"/>
      <c r="AC616" s="23"/>
      <c r="AD616" s="23"/>
      <c r="AE616" s="23"/>
      <c r="AF616" s="23"/>
      <c r="AG616" s="23"/>
      <c r="AH616" s="23"/>
      <c r="AI616" s="23"/>
      <c r="AJ616" s="23"/>
      <c r="AK616" s="23"/>
      <c r="AL616" s="23"/>
      <c r="AM616" s="23"/>
      <c r="AN616" s="23"/>
    </row>
    <row r="617" spans="13:40" x14ac:dyDescent="0.2">
      <c r="M617" s="23"/>
      <c r="N617" s="949"/>
      <c r="O617" s="23"/>
      <c r="R617" s="23"/>
      <c r="S617" s="949"/>
      <c r="T617" s="23"/>
      <c r="U617" s="23"/>
      <c r="V617" s="23"/>
      <c r="W617" s="23"/>
      <c r="X617" s="23"/>
      <c r="Y617" s="23"/>
      <c r="Z617" s="23"/>
      <c r="AA617" s="23"/>
      <c r="AB617" s="23"/>
      <c r="AC617" s="23"/>
      <c r="AD617" s="23"/>
      <c r="AE617" s="23"/>
      <c r="AF617" s="23"/>
      <c r="AG617" s="23"/>
      <c r="AH617" s="23"/>
      <c r="AI617" s="23"/>
      <c r="AJ617" s="23"/>
      <c r="AK617" s="23"/>
      <c r="AL617" s="23"/>
      <c r="AM617" s="23"/>
      <c r="AN617" s="23"/>
    </row>
    <row r="618" spans="13:40" x14ac:dyDescent="0.2">
      <c r="M618" s="23"/>
      <c r="N618" s="949"/>
      <c r="O618" s="23"/>
      <c r="R618" s="23"/>
      <c r="S618" s="949"/>
      <c r="T618" s="23"/>
      <c r="U618" s="23"/>
      <c r="V618" s="23"/>
      <c r="W618" s="23"/>
      <c r="X618" s="23"/>
      <c r="Y618" s="23"/>
      <c r="Z618" s="23"/>
      <c r="AA618" s="23"/>
      <c r="AB618" s="23"/>
      <c r="AC618" s="23"/>
      <c r="AD618" s="23"/>
      <c r="AE618" s="23"/>
      <c r="AF618" s="23"/>
      <c r="AG618" s="23"/>
      <c r="AH618" s="23"/>
      <c r="AI618" s="23"/>
      <c r="AJ618" s="23"/>
      <c r="AK618" s="23"/>
      <c r="AL618" s="23"/>
      <c r="AM618" s="23"/>
      <c r="AN618" s="23"/>
    </row>
    <row r="619" spans="13:40" x14ac:dyDescent="0.2">
      <c r="M619" s="23"/>
      <c r="N619" s="949"/>
      <c r="O619" s="23"/>
      <c r="R619" s="23"/>
      <c r="S619" s="949"/>
      <c r="T619" s="23"/>
      <c r="U619" s="23"/>
      <c r="V619" s="23"/>
      <c r="W619" s="23"/>
      <c r="X619" s="23"/>
      <c r="Y619" s="23"/>
      <c r="Z619" s="23"/>
      <c r="AA619" s="23"/>
      <c r="AB619" s="23"/>
      <c r="AC619" s="23"/>
      <c r="AD619" s="23"/>
      <c r="AE619" s="23"/>
      <c r="AF619" s="23"/>
      <c r="AG619" s="23"/>
      <c r="AH619" s="23"/>
      <c r="AI619" s="23"/>
      <c r="AJ619" s="23"/>
      <c r="AK619" s="23"/>
      <c r="AL619" s="23"/>
      <c r="AM619" s="23"/>
      <c r="AN619" s="23"/>
    </row>
    <row r="620" spans="13:40" x14ac:dyDescent="0.2">
      <c r="M620" s="23"/>
      <c r="N620" s="949"/>
      <c r="O620" s="23"/>
      <c r="R620" s="23"/>
      <c r="S620" s="949"/>
      <c r="T620" s="23"/>
      <c r="U620" s="23"/>
      <c r="V620" s="23"/>
      <c r="W620" s="23"/>
      <c r="X620" s="23"/>
      <c r="Y620" s="23"/>
      <c r="Z620" s="23"/>
      <c r="AA620" s="23"/>
      <c r="AB620" s="23"/>
      <c r="AC620" s="23"/>
      <c r="AD620" s="23"/>
      <c r="AE620" s="23"/>
      <c r="AF620" s="23"/>
      <c r="AG620" s="23"/>
      <c r="AH620" s="23"/>
      <c r="AI620" s="23"/>
      <c r="AJ620" s="23"/>
      <c r="AK620" s="23"/>
      <c r="AL620" s="23"/>
      <c r="AM620" s="23"/>
      <c r="AN620" s="23"/>
    </row>
    <row r="621" spans="13:40" x14ac:dyDescent="0.2">
      <c r="M621" s="23"/>
      <c r="N621" s="949"/>
      <c r="O621" s="23"/>
      <c r="R621" s="23"/>
      <c r="S621" s="949"/>
      <c r="T621" s="23"/>
      <c r="U621" s="23"/>
      <c r="V621" s="23"/>
      <c r="W621" s="23"/>
      <c r="X621" s="23"/>
      <c r="Y621" s="23"/>
      <c r="Z621" s="23"/>
      <c r="AA621" s="23"/>
      <c r="AB621" s="23"/>
      <c r="AC621" s="23"/>
      <c r="AD621" s="23"/>
      <c r="AE621" s="23"/>
      <c r="AF621" s="23"/>
      <c r="AG621" s="23"/>
      <c r="AH621" s="23"/>
      <c r="AI621" s="23"/>
      <c r="AJ621" s="23"/>
      <c r="AK621" s="23"/>
      <c r="AL621" s="23"/>
      <c r="AM621" s="23"/>
      <c r="AN621" s="23"/>
    </row>
    <row r="622" spans="13:40" x14ac:dyDescent="0.2">
      <c r="M622" s="23"/>
      <c r="N622" s="949"/>
      <c r="O622" s="23"/>
      <c r="R622" s="23"/>
      <c r="S622" s="949"/>
      <c r="T622" s="23"/>
      <c r="U622" s="23"/>
      <c r="V622" s="23"/>
      <c r="W622" s="23"/>
      <c r="X622" s="23"/>
      <c r="Y622" s="23"/>
      <c r="Z622" s="23"/>
      <c r="AA622" s="23"/>
      <c r="AB622" s="23"/>
      <c r="AC622" s="23"/>
      <c r="AD622" s="23"/>
      <c r="AE622" s="23"/>
      <c r="AF622" s="23"/>
      <c r="AG622" s="23"/>
      <c r="AH622" s="23"/>
      <c r="AI622" s="23"/>
      <c r="AJ622" s="23"/>
      <c r="AK622" s="23"/>
      <c r="AL622" s="23"/>
      <c r="AM622" s="23"/>
      <c r="AN622" s="23"/>
    </row>
    <row r="623" spans="13:40" x14ac:dyDescent="0.2">
      <c r="M623" s="23"/>
      <c r="N623" s="949"/>
      <c r="O623" s="23"/>
      <c r="R623" s="23"/>
      <c r="S623" s="949"/>
      <c r="T623" s="23"/>
      <c r="U623" s="23"/>
      <c r="V623" s="23"/>
      <c r="W623" s="23"/>
      <c r="X623" s="23"/>
      <c r="Y623" s="23"/>
      <c r="Z623" s="23"/>
      <c r="AA623" s="23"/>
      <c r="AB623" s="23"/>
      <c r="AC623" s="23"/>
      <c r="AD623" s="23"/>
      <c r="AE623" s="23"/>
      <c r="AF623" s="23"/>
      <c r="AG623" s="23"/>
      <c r="AH623" s="23"/>
      <c r="AI623" s="23"/>
      <c r="AJ623" s="23"/>
      <c r="AK623" s="23"/>
      <c r="AL623" s="23"/>
      <c r="AM623" s="23"/>
      <c r="AN623" s="23"/>
    </row>
    <row r="624" spans="13:40" x14ac:dyDescent="0.2">
      <c r="M624" s="23"/>
      <c r="N624" s="949"/>
      <c r="O624" s="23"/>
      <c r="R624" s="23"/>
      <c r="S624" s="949"/>
      <c r="T624" s="23"/>
      <c r="U624" s="23"/>
      <c r="V624" s="23"/>
      <c r="W624" s="23"/>
      <c r="X624" s="23"/>
      <c r="Y624" s="23"/>
      <c r="Z624" s="23"/>
      <c r="AA624" s="23"/>
      <c r="AB624" s="23"/>
      <c r="AC624" s="23"/>
      <c r="AD624" s="23"/>
      <c r="AE624" s="23"/>
      <c r="AF624" s="23"/>
      <c r="AG624" s="23"/>
      <c r="AH624" s="23"/>
      <c r="AI624" s="23"/>
      <c r="AJ624" s="23"/>
      <c r="AK624" s="23"/>
      <c r="AL624" s="23"/>
      <c r="AM624" s="23"/>
      <c r="AN624" s="23"/>
    </row>
    <row r="625" spans="13:40" x14ac:dyDescent="0.2">
      <c r="M625" s="23"/>
      <c r="N625" s="949"/>
      <c r="O625" s="23"/>
      <c r="R625" s="23"/>
      <c r="S625" s="949"/>
      <c r="T625" s="23"/>
      <c r="U625" s="23"/>
      <c r="V625" s="23"/>
      <c r="W625" s="23"/>
      <c r="X625" s="23"/>
      <c r="Y625" s="23"/>
      <c r="Z625" s="23"/>
      <c r="AA625" s="23"/>
      <c r="AB625" s="23"/>
      <c r="AC625" s="23"/>
      <c r="AD625" s="23"/>
      <c r="AE625" s="23"/>
      <c r="AF625" s="23"/>
      <c r="AG625" s="23"/>
      <c r="AH625" s="23"/>
      <c r="AI625" s="23"/>
      <c r="AJ625" s="23"/>
      <c r="AK625" s="23"/>
      <c r="AL625" s="23"/>
      <c r="AM625" s="23"/>
      <c r="AN625" s="23"/>
    </row>
    <row r="626" spans="13:40" x14ac:dyDescent="0.2">
      <c r="M626" s="23"/>
      <c r="N626" s="949"/>
      <c r="O626" s="23"/>
      <c r="R626" s="23"/>
      <c r="S626" s="949"/>
      <c r="T626" s="23"/>
      <c r="U626" s="23"/>
      <c r="V626" s="23"/>
      <c r="W626" s="23"/>
      <c r="X626" s="23"/>
      <c r="Y626" s="23"/>
      <c r="Z626" s="23"/>
      <c r="AA626" s="23"/>
      <c r="AB626" s="23"/>
      <c r="AC626" s="23"/>
      <c r="AD626" s="23"/>
      <c r="AE626" s="23"/>
      <c r="AF626" s="23"/>
      <c r="AG626" s="23"/>
      <c r="AH626" s="23"/>
      <c r="AI626" s="23"/>
      <c r="AJ626" s="23"/>
      <c r="AK626" s="23"/>
      <c r="AL626" s="23"/>
      <c r="AM626" s="23"/>
      <c r="AN626" s="23"/>
    </row>
    <row r="627" spans="13:40" x14ac:dyDescent="0.2">
      <c r="M627" s="23"/>
      <c r="N627" s="949"/>
      <c r="O627" s="23"/>
      <c r="R627" s="23"/>
      <c r="S627" s="949"/>
      <c r="T627" s="23"/>
      <c r="U627" s="23"/>
      <c r="V627" s="23"/>
      <c r="W627" s="23"/>
      <c r="X627" s="23"/>
      <c r="Y627" s="23"/>
      <c r="Z627" s="23"/>
      <c r="AA627" s="23"/>
      <c r="AB627" s="23"/>
      <c r="AC627" s="23"/>
      <c r="AD627" s="23"/>
      <c r="AE627" s="23"/>
      <c r="AF627" s="23"/>
      <c r="AG627" s="23"/>
      <c r="AH627" s="23"/>
      <c r="AI627" s="23"/>
      <c r="AJ627" s="23"/>
      <c r="AK627" s="23"/>
      <c r="AL627" s="23"/>
      <c r="AM627" s="23"/>
      <c r="AN627" s="23"/>
    </row>
    <row r="628" spans="13:40" x14ac:dyDescent="0.2">
      <c r="M628" s="23"/>
      <c r="N628" s="949"/>
      <c r="O628" s="23"/>
      <c r="R628" s="23"/>
      <c r="S628" s="949"/>
      <c r="T628" s="23"/>
      <c r="U628" s="23"/>
      <c r="V628" s="23"/>
      <c r="W628" s="23"/>
      <c r="X628" s="23"/>
      <c r="Y628" s="23"/>
      <c r="Z628" s="23"/>
      <c r="AA628" s="23"/>
      <c r="AB628" s="23"/>
      <c r="AC628" s="23"/>
      <c r="AD628" s="23"/>
      <c r="AE628" s="23"/>
      <c r="AF628" s="23"/>
      <c r="AG628" s="23"/>
      <c r="AH628" s="23"/>
      <c r="AI628" s="23"/>
      <c r="AJ628" s="23"/>
      <c r="AK628" s="23"/>
      <c r="AL628" s="23"/>
      <c r="AM628" s="23"/>
      <c r="AN628" s="23"/>
    </row>
    <row r="629" spans="13:40" x14ac:dyDescent="0.2">
      <c r="M629" s="23"/>
      <c r="N629" s="949"/>
      <c r="O629" s="23"/>
      <c r="R629" s="23"/>
      <c r="S629" s="949"/>
      <c r="T629" s="23"/>
      <c r="U629" s="23"/>
      <c r="V629" s="23"/>
      <c r="W629" s="23"/>
      <c r="X629" s="23"/>
      <c r="Y629" s="23"/>
      <c r="Z629" s="23"/>
      <c r="AA629" s="23"/>
      <c r="AB629" s="23"/>
      <c r="AC629" s="23"/>
      <c r="AD629" s="23"/>
      <c r="AE629" s="23"/>
      <c r="AF629" s="23"/>
      <c r="AG629" s="23"/>
      <c r="AH629" s="23"/>
      <c r="AI629" s="23"/>
      <c r="AJ629" s="23"/>
      <c r="AK629" s="23"/>
      <c r="AL629" s="23"/>
      <c r="AM629" s="23"/>
      <c r="AN629" s="23"/>
    </row>
    <row r="630" spans="13:40" x14ac:dyDescent="0.2">
      <c r="M630" s="23"/>
      <c r="N630" s="949"/>
      <c r="O630" s="23"/>
      <c r="R630" s="23"/>
      <c r="S630" s="949"/>
      <c r="T630" s="23"/>
      <c r="U630" s="23"/>
      <c r="V630" s="23"/>
      <c r="W630" s="23"/>
      <c r="X630" s="23"/>
      <c r="Y630" s="23"/>
      <c r="Z630" s="23"/>
      <c r="AA630" s="23"/>
      <c r="AB630" s="23"/>
      <c r="AC630" s="23"/>
      <c r="AD630" s="23"/>
      <c r="AE630" s="23"/>
      <c r="AF630" s="23"/>
      <c r="AG630" s="23"/>
      <c r="AH630" s="23"/>
      <c r="AI630" s="23"/>
      <c r="AJ630" s="23"/>
      <c r="AK630" s="23"/>
      <c r="AL630" s="23"/>
      <c r="AM630" s="23"/>
      <c r="AN630" s="23"/>
    </row>
    <row r="631" spans="13:40" x14ac:dyDescent="0.2">
      <c r="M631" s="23"/>
      <c r="N631" s="949"/>
      <c r="O631" s="23"/>
      <c r="R631" s="23"/>
      <c r="S631" s="949"/>
      <c r="T631" s="23"/>
      <c r="U631" s="23"/>
      <c r="V631" s="23"/>
      <c r="W631" s="23"/>
      <c r="X631" s="23"/>
      <c r="Y631" s="23"/>
      <c r="Z631" s="23"/>
      <c r="AA631" s="23"/>
      <c r="AB631" s="23"/>
      <c r="AC631" s="23"/>
      <c r="AD631" s="23"/>
      <c r="AE631" s="23"/>
      <c r="AF631" s="23"/>
      <c r="AG631" s="23"/>
      <c r="AH631" s="23"/>
      <c r="AI631" s="23"/>
      <c r="AJ631" s="23"/>
      <c r="AK631" s="23"/>
      <c r="AL631" s="23"/>
      <c r="AM631" s="23"/>
      <c r="AN631" s="23"/>
    </row>
    <row r="632" spans="13:40" x14ac:dyDescent="0.2">
      <c r="M632" s="23"/>
      <c r="N632" s="949"/>
      <c r="O632" s="23"/>
      <c r="R632" s="23"/>
      <c r="S632" s="949"/>
      <c r="T632" s="23"/>
      <c r="U632" s="23"/>
      <c r="V632" s="23"/>
      <c r="W632" s="23"/>
      <c r="X632" s="23"/>
      <c r="Y632" s="23"/>
      <c r="Z632" s="23"/>
      <c r="AA632" s="23"/>
      <c r="AB632" s="23"/>
      <c r="AC632" s="23"/>
      <c r="AD632" s="23"/>
      <c r="AE632" s="23"/>
      <c r="AF632" s="23"/>
      <c r="AG632" s="23"/>
      <c r="AH632" s="23"/>
      <c r="AI632" s="23"/>
      <c r="AJ632" s="23"/>
      <c r="AK632" s="23"/>
      <c r="AL632" s="23"/>
      <c r="AM632" s="23"/>
      <c r="AN632" s="23"/>
    </row>
    <row r="633" spans="13:40" x14ac:dyDescent="0.2">
      <c r="M633" s="23"/>
      <c r="N633" s="949"/>
      <c r="O633" s="23"/>
      <c r="R633" s="23"/>
      <c r="S633" s="949"/>
      <c r="T633" s="23"/>
      <c r="U633" s="23"/>
      <c r="V633" s="23"/>
      <c r="W633" s="23"/>
      <c r="X633" s="23"/>
      <c r="Y633" s="23"/>
      <c r="Z633" s="23"/>
      <c r="AA633" s="23"/>
      <c r="AB633" s="23"/>
      <c r="AC633" s="23"/>
      <c r="AD633" s="23"/>
      <c r="AE633" s="23"/>
      <c r="AF633" s="23"/>
      <c r="AG633" s="23"/>
      <c r="AH633" s="23"/>
      <c r="AI633" s="23"/>
      <c r="AJ633" s="23"/>
      <c r="AK633" s="23"/>
      <c r="AL633" s="23"/>
      <c r="AM633" s="23"/>
      <c r="AN633" s="23"/>
    </row>
    <row r="634" spans="13:40" x14ac:dyDescent="0.2">
      <c r="M634" s="23"/>
      <c r="N634" s="949"/>
      <c r="O634" s="23"/>
      <c r="R634" s="23"/>
      <c r="S634" s="949"/>
      <c r="T634" s="23"/>
      <c r="U634" s="23"/>
      <c r="V634" s="23"/>
      <c r="W634" s="23"/>
      <c r="X634" s="23"/>
      <c r="Y634" s="23"/>
      <c r="Z634" s="23"/>
      <c r="AA634" s="23"/>
      <c r="AB634" s="23"/>
      <c r="AC634" s="23"/>
      <c r="AD634" s="23"/>
      <c r="AE634" s="23"/>
      <c r="AF634" s="23"/>
      <c r="AG634" s="23"/>
      <c r="AH634" s="23"/>
      <c r="AI634" s="23"/>
      <c r="AJ634" s="23"/>
      <c r="AK634" s="23"/>
      <c r="AL634" s="23"/>
      <c r="AM634" s="23"/>
      <c r="AN634" s="23"/>
    </row>
    <row r="635" spans="13:40" x14ac:dyDescent="0.2">
      <c r="M635" s="23"/>
      <c r="N635" s="949"/>
      <c r="O635" s="23"/>
      <c r="R635" s="23"/>
      <c r="S635" s="949"/>
      <c r="T635" s="23"/>
      <c r="U635" s="23"/>
      <c r="V635" s="23"/>
      <c r="W635" s="23"/>
      <c r="X635" s="23"/>
      <c r="Y635" s="23"/>
      <c r="Z635" s="23"/>
      <c r="AA635" s="23"/>
      <c r="AB635" s="23"/>
      <c r="AC635" s="23"/>
      <c r="AD635" s="23"/>
      <c r="AE635" s="23"/>
      <c r="AF635" s="23"/>
      <c r="AG635" s="23"/>
      <c r="AH635" s="23"/>
      <c r="AI635" s="23"/>
      <c r="AJ635" s="23"/>
      <c r="AK635" s="23"/>
      <c r="AL635" s="23"/>
      <c r="AM635" s="23"/>
      <c r="AN635" s="23"/>
    </row>
    <row r="636" spans="13:40" x14ac:dyDescent="0.2">
      <c r="M636" s="23"/>
      <c r="N636" s="949"/>
      <c r="O636" s="23"/>
      <c r="R636" s="23"/>
      <c r="S636" s="949"/>
      <c r="T636" s="23"/>
      <c r="U636" s="23"/>
      <c r="V636" s="23"/>
      <c r="W636" s="23"/>
      <c r="X636" s="23"/>
      <c r="Y636" s="23"/>
      <c r="Z636" s="23"/>
      <c r="AA636" s="23"/>
      <c r="AB636" s="23"/>
      <c r="AC636" s="23"/>
      <c r="AD636" s="23"/>
      <c r="AE636" s="23"/>
      <c r="AF636" s="23"/>
      <c r="AG636" s="23"/>
      <c r="AH636" s="23"/>
      <c r="AI636" s="23"/>
      <c r="AJ636" s="23"/>
      <c r="AK636" s="23"/>
      <c r="AL636" s="23"/>
      <c r="AM636" s="23"/>
      <c r="AN636" s="23"/>
    </row>
    <row r="637" spans="13:40" x14ac:dyDescent="0.2">
      <c r="M637" s="23"/>
      <c r="N637" s="949"/>
      <c r="O637" s="23"/>
      <c r="R637" s="23"/>
      <c r="S637" s="949"/>
      <c r="T637" s="23"/>
      <c r="U637" s="23"/>
      <c r="V637" s="23"/>
      <c r="W637" s="23"/>
      <c r="X637" s="23"/>
      <c r="Y637" s="23"/>
      <c r="Z637" s="23"/>
      <c r="AA637" s="23"/>
      <c r="AB637" s="23"/>
      <c r="AC637" s="23"/>
      <c r="AD637" s="23"/>
      <c r="AE637" s="23"/>
      <c r="AF637" s="23"/>
      <c r="AG637" s="23"/>
      <c r="AH637" s="23"/>
      <c r="AI637" s="23"/>
      <c r="AJ637" s="23"/>
      <c r="AK637" s="23"/>
      <c r="AL637" s="23"/>
      <c r="AM637" s="23"/>
      <c r="AN637" s="23"/>
    </row>
    <row r="638" spans="13:40" x14ac:dyDescent="0.2">
      <c r="M638" s="23"/>
      <c r="N638" s="949"/>
      <c r="O638" s="23"/>
      <c r="R638" s="23"/>
      <c r="S638" s="949"/>
      <c r="T638" s="23"/>
      <c r="U638" s="23"/>
      <c r="V638" s="23"/>
      <c r="W638" s="23"/>
      <c r="X638" s="23"/>
      <c r="Y638" s="23"/>
      <c r="Z638" s="23"/>
      <c r="AA638" s="23"/>
      <c r="AB638" s="23"/>
      <c r="AC638" s="23"/>
      <c r="AD638" s="23"/>
      <c r="AE638" s="23"/>
      <c r="AF638" s="23"/>
      <c r="AG638" s="23"/>
      <c r="AH638" s="23"/>
      <c r="AI638" s="23"/>
      <c r="AJ638" s="23"/>
      <c r="AK638" s="23"/>
      <c r="AL638" s="23"/>
      <c r="AM638" s="23"/>
      <c r="AN638" s="23"/>
    </row>
    <row r="639" spans="13:40" x14ac:dyDescent="0.2">
      <c r="M639" s="23"/>
      <c r="N639" s="949"/>
      <c r="O639" s="23"/>
      <c r="R639" s="23"/>
      <c r="S639" s="949"/>
      <c r="T639" s="23"/>
      <c r="U639" s="23"/>
      <c r="V639" s="23"/>
      <c r="W639" s="23"/>
      <c r="X639" s="23"/>
      <c r="Y639" s="23"/>
      <c r="Z639" s="23"/>
      <c r="AA639" s="23"/>
      <c r="AB639" s="23"/>
      <c r="AC639" s="23"/>
      <c r="AD639" s="23"/>
      <c r="AE639" s="23"/>
      <c r="AF639" s="23"/>
      <c r="AG639" s="23"/>
      <c r="AH639" s="23"/>
      <c r="AI639" s="23"/>
      <c r="AJ639" s="23"/>
      <c r="AK639" s="23"/>
      <c r="AL639" s="23"/>
      <c r="AM639" s="23"/>
      <c r="AN639" s="23"/>
    </row>
    <row r="640" spans="13:40" x14ac:dyDescent="0.2">
      <c r="M640" s="23"/>
      <c r="N640" s="949"/>
      <c r="O640" s="23"/>
      <c r="R640" s="23"/>
      <c r="S640" s="949"/>
      <c r="T640" s="23"/>
      <c r="U640" s="23"/>
      <c r="V640" s="23"/>
      <c r="W640" s="23"/>
      <c r="X640" s="23"/>
      <c r="Y640" s="23"/>
      <c r="Z640" s="23"/>
      <c r="AA640" s="23"/>
      <c r="AB640" s="23"/>
      <c r="AC640" s="23"/>
      <c r="AD640" s="23"/>
      <c r="AE640" s="23"/>
      <c r="AF640" s="23"/>
      <c r="AG640" s="23"/>
      <c r="AH640" s="23"/>
      <c r="AI640" s="23"/>
      <c r="AJ640" s="23"/>
      <c r="AK640" s="23"/>
      <c r="AL640" s="23"/>
      <c r="AM640" s="23"/>
      <c r="AN640" s="23"/>
    </row>
    <row r="641" spans="13:40" x14ac:dyDescent="0.2">
      <c r="M641" s="23"/>
      <c r="N641" s="949"/>
      <c r="O641" s="23"/>
      <c r="R641" s="23"/>
      <c r="S641" s="949"/>
      <c r="T641" s="23"/>
      <c r="U641" s="23"/>
      <c r="V641" s="23"/>
      <c r="W641" s="23"/>
      <c r="X641" s="23"/>
      <c r="Y641" s="23"/>
      <c r="Z641" s="23"/>
      <c r="AA641" s="23"/>
      <c r="AB641" s="23"/>
      <c r="AC641" s="23"/>
      <c r="AD641" s="23"/>
      <c r="AE641" s="23"/>
      <c r="AF641" s="23"/>
      <c r="AG641" s="23"/>
      <c r="AH641" s="23"/>
      <c r="AI641" s="23"/>
      <c r="AJ641" s="23"/>
      <c r="AK641" s="23"/>
      <c r="AL641" s="23"/>
      <c r="AM641" s="23"/>
      <c r="AN641" s="23"/>
    </row>
    <row r="642" spans="13:40" x14ac:dyDescent="0.2">
      <c r="M642" s="23"/>
      <c r="N642" s="949"/>
      <c r="O642" s="23"/>
      <c r="R642" s="23"/>
      <c r="S642" s="949"/>
      <c r="T642" s="23"/>
      <c r="U642" s="23"/>
      <c r="V642" s="23"/>
      <c r="W642" s="23"/>
      <c r="X642" s="23"/>
      <c r="Y642" s="23"/>
      <c r="Z642" s="23"/>
      <c r="AA642" s="23"/>
      <c r="AB642" s="23"/>
      <c r="AC642" s="23"/>
      <c r="AD642" s="23"/>
      <c r="AE642" s="23"/>
      <c r="AF642" s="23"/>
      <c r="AG642" s="23"/>
      <c r="AH642" s="23"/>
      <c r="AI642" s="23"/>
      <c r="AJ642" s="23"/>
      <c r="AK642" s="23"/>
      <c r="AL642" s="23"/>
      <c r="AM642" s="23"/>
      <c r="AN642" s="23"/>
    </row>
    <row r="643" spans="13:40" x14ac:dyDescent="0.2">
      <c r="M643" s="23"/>
      <c r="N643" s="949"/>
      <c r="O643" s="23"/>
      <c r="R643" s="23"/>
      <c r="S643" s="949"/>
      <c r="T643" s="23"/>
      <c r="U643" s="23"/>
      <c r="V643" s="23"/>
      <c r="W643" s="23"/>
      <c r="X643" s="23"/>
      <c r="Y643" s="23"/>
      <c r="Z643" s="23"/>
      <c r="AA643" s="23"/>
      <c r="AB643" s="23"/>
      <c r="AC643" s="23"/>
      <c r="AD643" s="23"/>
      <c r="AE643" s="23"/>
      <c r="AF643" s="23"/>
      <c r="AG643" s="23"/>
      <c r="AH643" s="23"/>
      <c r="AI643" s="23"/>
      <c r="AJ643" s="23"/>
      <c r="AK643" s="23"/>
      <c r="AL643" s="23"/>
      <c r="AM643" s="23"/>
      <c r="AN643" s="23"/>
    </row>
    <row r="644" spans="13:40" x14ac:dyDescent="0.2">
      <c r="M644" s="23"/>
      <c r="N644" s="949"/>
      <c r="O644" s="23"/>
      <c r="R644" s="23"/>
      <c r="S644" s="949"/>
      <c r="T644" s="23"/>
      <c r="U644" s="23"/>
      <c r="V644" s="23"/>
      <c r="W644" s="23"/>
      <c r="X644" s="23"/>
      <c r="Y644" s="23"/>
      <c r="Z644" s="23"/>
      <c r="AA644" s="23"/>
      <c r="AB644" s="23"/>
      <c r="AC644" s="23"/>
      <c r="AD644" s="23"/>
      <c r="AE644" s="23"/>
      <c r="AF644" s="23"/>
      <c r="AG644" s="23"/>
      <c r="AH644" s="23"/>
      <c r="AI644" s="23"/>
      <c r="AJ644" s="23"/>
      <c r="AK644" s="23"/>
      <c r="AL644" s="23"/>
      <c r="AM644" s="23"/>
      <c r="AN644" s="23"/>
    </row>
    <row r="645" spans="13:40" x14ac:dyDescent="0.2">
      <c r="M645" s="23"/>
      <c r="N645" s="949"/>
      <c r="O645" s="23"/>
      <c r="R645" s="23"/>
      <c r="S645" s="949"/>
      <c r="T645" s="23"/>
      <c r="U645" s="23"/>
      <c r="V645" s="23"/>
      <c r="W645" s="23"/>
      <c r="X645" s="23"/>
      <c r="Y645" s="23"/>
      <c r="Z645" s="23"/>
      <c r="AA645" s="23"/>
      <c r="AB645" s="23"/>
      <c r="AC645" s="23"/>
      <c r="AD645" s="23"/>
      <c r="AE645" s="23"/>
      <c r="AF645" s="23"/>
      <c r="AG645" s="23"/>
      <c r="AH645" s="23"/>
      <c r="AI645" s="23"/>
      <c r="AJ645" s="23"/>
      <c r="AK645" s="23"/>
      <c r="AL645" s="23"/>
      <c r="AM645" s="23"/>
      <c r="AN645" s="23"/>
    </row>
    <row r="646" spans="13:40" x14ac:dyDescent="0.2">
      <c r="M646" s="23"/>
      <c r="N646" s="949"/>
      <c r="O646" s="23"/>
      <c r="R646" s="23"/>
      <c r="S646" s="949"/>
      <c r="T646" s="23"/>
      <c r="U646" s="23"/>
      <c r="V646" s="23"/>
      <c r="W646" s="23"/>
      <c r="X646" s="23"/>
      <c r="Y646" s="23"/>
      <c r="Z646" s="23"/>
      <c r="AA646" s="23"/>
      <c r="AB646" s="23"/>
      <c r="AC646" s="23"/>
      <c r="AD646" s="23"/>
      <c r="AE646" s="23"/>
      <c r="AF646" s="23"/>
      <c r="AG646" s="23"/>
      <c r="AH646" s="23"/>
      <c r="AI646" s="23"/>
      <c r="AJ646" s="23"/>
      <c r="AK646" s="23"/>
      <c r="AL646" s="23"/>
      <c r="AM646" s="23"/>
      <c r="AN646" s="23"/>
    </row>
    <row r="647" spans="13:40" x14ac:dyDescent="0.2">
      <c r="M647" s="23"/>
      <c r="N647" s="949"/>
      <c r="O647" s="23"/>
      <c r="R647" s="23"/>
      <c r="S647" s="949"/>
      <c r="T647" s="23"/>
      <c r="U647" s="23"/>
      <c r="V647" s="23"/>
      <c r="W647" s="23"/>
      <c r="X647" s="23"/>
      <c r="Y647" s="23"/>
      <c r="Z647" s="23"/>
      <c r="AA647" s="23"/>
      <c r="AB647" s="23"/>
      <c r="AC647" s="23"/>
      <c r="AD647" s="23"/>
      <c r="AE647" s="23"/>
      <c r="AF647" s="23"/>
      <c r="AG647" s="23"/>
      <c r="AH647" s="23"/>
      <c r="AI647" s="23"/>
      <c r="AJ647" s="23"/>
      <c r="AK647" s="23"/>
      <c r="AL647" s="23"/>
      <c r="AM647" s="23"/>
      <c r="AN647" s="23"/>
    </row>
    <row r="648" spans="13:40" x14ac:dyDescent="0.2">
      <c r="M648" s="23"/>
      <c r="N648" s="949"/>
      <c r="O648" s="23"/>
      <c r="R648" s="23"/>
      <c r="S648" s="949"/>
      <c r="T648" s="23"/>
      <c r="U648" s="23"/>
      <c r="V648" s="23"/>
      <c r="W648" s="23"/>
      <c r="X648" s="23"/>
      <c r="Y648" s="23"/>
      <c r="Z648" s="23"/>
      <c r="AA648" s="23"/>
      <c r="AB648" s="23"/>
      <c r="AC648" s="23"/>
      <c r="AD648" s="23"/>
      <c r="AE648" s="23"/>
      <c r="AF648" s="23"/>
      <c r="AG648" s="23"/>
      <c r="AH648" s="23"/>
      <c r="AI648" s="23"/>
      <c r="AJ648" s="23"/>
      <c r="AK648" s="23"/>
      <c r="AL648" s="23"/>
      <c r="AM648" s="23"/>
      <c r="AN648" s="23"/>
    </row>
    <row r="649" spans="13:40" x14ac:dyDescent="0.2">
      <c r="M649" s="23"/>
      <c r="N649" s="949"/>
      <c r="O649" s="23"/>
      <c r="R649" s="23"/>
      <c r="S649" s="949"/>
      <c r="T649" s="23"/>
      <c r="U649" s="23"/>
      <c r="V649" s="23"/>
      <c r="W649" s="23"/>
      <c r="X649" s="23"/>
      <c r="Y649" s="23"/>
      <c r="Z649" s="23"/>
      <c r="AA649" s="23"/>
      <c r="AB649" s="23"/>
      <c r="AC649" s="23"/>
      <c r="AD649" s="23"/>
      <c r="AE649" s="23"/>
      <c r="AF649" s="23"/>
      <c r="AG649" s="23"/>
      <c r="AH649" s="23"/>
      <c r="AI649" s="23"/>
      <c r="AJ649" s="23"/>
      <c r="AK649" s="23"/>
      <c r="AL649" s="23"/>
      <c r="AM649" s="23"/>
      <c r="AN649" s="23"/>
    </row>
    <row r="650" spans="13:40" x14ac:dyDescent="0.2">
      <c r="M650" s="23"/>
      <c r="N650" s="949"/>
      <c r="O650" s="23"/>
      <c r="R650" s="23"/>
      <c r="S650" s="949"/>
      <c r="T650" s="23"/>
      <c r="U650" s="23"/>
      <c r="V650" s="23"/>
      <c r="W650" s="23"/>
      <c r="X650" s="23"/>
      <c r="Y650" s="23"/>
      <c r="Z650" s="23"/>
      <c r="AA650" s="23"/>
      <c r="AB650" s="23"/>
      <c r="AC650" s="23"/>
      <c r="AD650" s="23"/>
      <c r="AE650" s="23"/>
      <c r="AF650" s="23"/>
      <c r="AG650" s="23"/>
      <c r="AH650" s="23"/>
      <c r="AI650" s="23"/>
      <c r="AJ650" s="23"/>
      <c r="AK650" s="23"/>
      <c r="AL650" s="23"/>
      <c r="AM650" s="23"/>
      <c r="AN650" s="23"/>
    </row>
    <row r="651" spans="13:40" x14ac:dyDescent="0.2">
      <c r="M651" s="23"/>
      <c r="N651" s="949"/>
      <c r="O651" s="23"/>
      <c r="R651" s="23"/>
      <c r="S651" s="949"/>
      <c r="T651" s="23"/>
      <c r="U651" s="23"/>
      <c r="V651" s="23"/>
      <c r="W651" s="23"/>
      <c r="X651" s="23"/>
      <c r="Y651" s="23"/>
      <c r="Z651" s="23"/>
      <c r="AA651" s="23"/>
      <c r="AB651" s="23"/>
      <c r="AC651" s="23"/>
      <c r="AD651" s="23"/>
      <c r="AE651" s="23"/>
      <c r="AF651" s="23"/>
      <c r="AG651" s="23"/>
      <c r="AH651" s="23"/>
      <c r="AI651" s="23"/>
      <c r="AJ651" s="23"/>
      <c r="AK651" s="23"/>
      <c r="AL651" s="23"/>
      <c r="AM651" s="23"/>
      <c r="AN651" s="23"/>
    </row>
    <row r="652" spans="13:40" x14ac:dyDescent="0.2">
      <c r="M652" s="23"/>
      <c r="N652" s="949"/>
      <c r="O652" s="23"/>
      <c r="R652" s="23"/>
      <c r="S652" s="949"/>
      <c r="T652" s="23"/>
      <c r="U652" s="23"/>
      <c r="V652" s="23"/>
      <c r="W652" s="23"/>
      <c r="X652" s="23"/>
      <c r="Y652" s="23"/>
      <c r="Z652" s="23"/>
      <c r="AA652" s="23"/>
      <c r="AB652" s="23"/>
      <c r="AC652" s="23"/>
      <c r="AD652" s="23"/>
      <c r="AE652" s="23"/>
      <c r="AF652" s="23"/>
      <c r="AG652" s="23"/>
      <c r="AH652" s="23"/>
      <c r="AI652" s="23"/>
      <c r="AJ652" s="23"/>
      <c r="AK652" s="23"/>
      <c r="AL652" s="23"/>
      <c r="AM652" s="23"/>
      <c r="AN652" s="23"/>
    </row>
    <row r="653" spans="13:40" x14ac:dyDescent="0.2">
      <c r="M653" s="23"/>
      <c r="N653" s="949"/>
      <c r="O653" s="23"/>
      <c r="R653" s="23"/>
      <c r="S653" s="949"/>
      <c r="T653" s="23"/>
      <c r="U653" s="23"/>
      <c r="V653" s="23"/>
      <c r="W653" s="23"/>
      <c r="X653" s="23"/>
      <c r="Y653" s="23"/>
      <c r="Z653" s="23"/>
      <c r="AA653" s="23"/>
      <c r="AB653" s="23"/>
      <c r="AC653" s="23"/>
      <c r="AD653" s="23"/>
      <c r="AE653" s="23"/>
      <c r="AF653" s="23"/>
      <c r="AG653" s="23"/>
      <c r="AH653" s="23"/>
      <c r="AI653" s="23"/>
      <c r="AJ653" s="23"/>
      <c r="AK653" s="23"/>
      <c r="AL653" s="23"/>
      <c r="AM653" s="23"/>
      <c r="AN653" s="23"/>
    </row>
    <row r="654" spans="13:40" x14ac:dyDescent="0.2">
      <c r="M654" s="23"/>
      <c r="N654" s="949"/>
      <c r="O654" s="23"/>
      <c r="R654" s="23"/>
      <c r="S654" s="949"/>
      <c r="T654" s="23"/>
      <c r="U654" s="23"/>
      <c r="V654" s="23"/>
      <c r="W654" s="23"/>
      <c r="X654" s="23"/>
      <c r="Y654" s="23"/>
      <c r="Z654" s="23"/>
      <c r="AA654" s="23"/>
      <c r="AB654" s="23"/>
      <c r="AC654" s="23"/>
      <c r="AD654" s="23"/>
      <c r="AE654" s="23"/>
      <c r="AF654" s="23"/>
      <c r="AG654" s="23"/>
      <c r="AH654" s="23"/>
      <c r="AI654" s="23"/>
      <c r="AJ654" s="23"/>
      <c r="AK654" s="23"/>
      <c r="AL654" s="23"/>
      <c r="AM654" s="23"/>
      <c r="AN654" s="23"/>
    </row>
    <row r="655" spans="13:40" x14ac:dyDescent="0.2">
      <c r="M655" s="23"/>
      <c r="N655" s="949"/>
      <c r="O655" s="23"/>
      <c r="R655" s="23"/>
      <c r="S655" s="949"/>
      <c r="T655" s="23"/>
      <c r="U655" s="23"/>
      <c r="V655" s="23"/>
      <c r="W655" s="23"/>
      <c r="X655" s="23"/>
      <c r="Y655" s="23"/>
      <c r="Z655" s="23"/>
      <c r="AA655" s="23"/>
      <c r="AB655" s="23"/>
      <c r="AC655" s="23"/>
      <c r="AD655" s="23"/>
      <c r="AE655" s="23"/>
      <c r="AF655" s="23"/>
      <c r="AG655" s="23"/>
      <c r="AH655" s="23"/>
      <c r="AI655" s="23"/>
      <c r="AJ655" s="23"/>
      <c r="AK655" s="23"/>
      <c r="AL655" s="23"/>
      <c r="AM655" s="23"/>
      <c r="AN655" s="23"/>
    </row>
    <row r="656" spans="13:40" x14ac:dyDescent="0.2">
      <c r="M656" s="23"/>
      <c r="N656" s="949"/>
      <c r="O656" s="23"/>
      <c r="R656" s="23"/>
      <c r="S656" s="949"/>
      <c r="T656" s="23"/>
      <c r="U656" s="23"/>
      <c r="V656" s="23"/>
      <c r="W656" s="23"/>
      <c r="X656" s="23"/>
      <c r="Y656" s="23"/>
      <c r="Z656" s="23"/>
      <c r="AA656" s="23"/>
      <c r="AB656" s="23"/>
      <c r="AC656" s="23"/>
      <c r="AD656" s="23"/>
      <c r="AE656" s="23"/>
      <c r="AF656" s="23"/>
      <c r="AG656" s="23"/>
      <c r="AH656" s="23"/>
      <c r="AI656" s="23"/>
      <c r="AJ656" s="23"/>
      <c r="AK656" s="23"/>
      <c r="AL656" s="23"/>
      <c r="AM656" s="23"/>
      <c r="AN656" s="23"/>
    </row>
    <row r="657" spans="13:40" x14ac:dyDescent="0.2">
      <c r="M657" s="23"/>
      <c r="N657" s="949"/>
      <c r="O657" s="23"/>
      <c r="R657" s="23"/>
      <c r="S657" s="949"/>
      <c r="T657" s="23"/>
      <c r="U657" s="23"/>
      <c r="V657" s="23"/>
      <c r="W657" s="23"/>
      <c r="X657" s="23"/>
      <c r="Y657" s="23"/>
      <c r="Z657" s="23"/>
      <c r="AA657" s="23"/>
      <c r="AB657" s="23"/>
      <c r="AC657" s="23"/>
      <c r="AD657" s="23"/>
      <c r="AE657" s="23"/>
      <c r="AF657" s="23"/>
      <c r="AG657" s="23"/>
      <c r="AH657" s="23"/>
      <c r="AI657" s="23"/>
      <c r="AJ657" s="23"/>
      <c r="AK657" s="23"/>
      <c r="AL657" s="23"/>
      <c r="AM657" s="23"/>
      <c r="AN657" s="23"/>
    </row>
    <row r="658" spans="13:40" x14ac:dyDescent="0.2">
      <c r="M658" s="23"/>
      <c r="N658" s="949"/>
      <c r="O658" s="23"/>
      <c r="R658" s="23"/>
      <c r="S658" s="949"/>
      <c r="T658" s="23"/>
      <c r="U658" s="23"/>
      <c r="V658" s="23"/>
      <c r="W658" s="23"/>
      <c r="X658" s="23"/>
      <c r="Y658" s="23"/>
      <c r="Z658" s="23"/>
      <c r="AA658" s="23"/>
      <c r="AB658" s="23"/>
      <c r="AC658" s="23"/>
      <c r="AD658" s="23"/>
      <c r="AE658" s="23"/>
      <c r="AF658" s="23"/>
      <c r="AG658" s="23"/>
      <c r="AH658" s="23"/>
      <c r="AI658" s="23"/>
      <c r="AJ658" s="23"/>
      <c r="AK658" s="23"/>
      <c r="AL658" s="23"/>
      <c r="AM658" s="23"/>
      <c r="AN658" s="23"/>
    </row>
    <row r="659" spans="13:40" x14ac:dyDescent="0.2">
      <c r="M659" s="23"/>
      <c r="N659" s="949"/>
      <c r="O659" s="23"/>
      <c r="R659" s="23"/>
      <c r="S659" s="949"/>
      <c r="T659" s="23"/>
      <c r="U659" s="23"/>
      <c r="V659" s="23"/>
      <c r="W659" s="23"/>
      <c r="X659" s="23"/>
      <c r="Y659" s="23"/>
      <c r="Z659" s="23"/>
      <c r="AA659" s="23"/>
      <c r="AB659" s="23"/>
      <c r="AC659" s="23"/>
      <c r="AD659" s="23"/>
      <c r="AE659" s="23"/>
      <c r="AF659" s="23"/>
      <c r="AG659" s="23"/>
      <c r="AH659" s="23"/>
      <c r="AI659" s="23"/>
      <c r="AJ659" s="23"/>
      <c r="AK659" s="23"/>
      <c r="AL659" s="23"/>
      <c r="AM659" s="23"/>
      <c r="AN659" s="23"/>
    </row>
    <row r="660" spans="13:40" x14ac:dyDescent="0.2">
      <c r="M660" s="23"/>
      <c r="N660" s="949"/>
      <c r="O660" s="23"/>
      <c r="R660" s="23"/>
      <c r="S660" s="949"/>
      <c r="T660" s="23"/>
      <c r="U660" s="23"/>
      <c r="V660" s="23"/>
      <c r="W660" s="23"/>
      <c r="X660" s="23"/>
      <c r="Y660" s="23"/>
      <c r="Z660" s="23"/>
      <c r="AA660" s="23"/>
      <c r="AB660" s="23"/>
      <c r="AC660" s="23"/>
      <c r="AD660" s="23"/>
      <c r="AE660" s="23"/>
      <c r="AF660" s="23"/>
      <c r="AG660" s="23"/>
      <c r="AH660" s="23"/>
      <c r="AI660" s="23"/>
      <c r="AJ660" s="23"/>
      <c r="AK660" s="23"/>
      <c r="AL660" s="23"/>
      <c r="AM660" s="23"/>
      <c r="AN660" s="23"/>
    </row>
    <row r="661" spans="13:40" x14ac:dyDescent="0.2">
      <c r="M661" s="23"/>
      <c r="N661" s="949"/>
      <c r="O661" s="23"/>
      <c r="R661" s="23"/>
      <c r="S661" s="949"/>
      <c r="T661" s="23"/>
      <c r="U661" s="23"/>
      <c r="V661" s="23"/>
      <c r="W661" s="23"/>
      <c r="X661" s="23"/>
      <c r="Y661" s="23"/>
      <c r="Z661" s="23"/>
      <c r="AA661" s="23"/>
      <c r="AB661" s="23"/>
      <c r="AC661" s="23"/>
      <c r="AD661" s="23"/>
      <c r="AE661" s="23"/>
      <c r="AF661" s="23"/>
      <c r="AG661" s="23"/>
      <c r="AH661" s="23"/>
      <c r="AI661" s="23"/>
      <c r="AJ661" s="23"/>
      <c r="AK661" s="23"/>
      <c r="AL661" s="23"/>
      <c r="AM661" s="23"/>
      <c r="AN661" s="23"/>
    </row>
    <row r="662" spans="13:40" x14ac:dyDescent="0.2">
      <c r="M662" s="23"/>
      <c r="N662" s="949"/>
      <c r="O662" s="23"/>
      <c r="R662" s="23"/>
      <c r="S662" s="949"/>
      <c r="T662" s="23"/>
      <c r="U662" s="23"/>
      <c r="V662" s="23"/>
      <c r="W662" s="23"/>
      <c r="X662" s="23"/>
      <c r="Y662" s="23"/>
      <c r="Z662" s="23"/>
      <c r="AA662" s="23"/>
      <c r="AB662" s="23"/>
      <c r="AC662" s="23"/>
      <c r="AD662" s="23"/>
      <c r="AE662" s="23"/>
      <c r="AF662" s="23"/>
      <c r="AG662" s="23"/>
      <c r="AH662" s="23"/>
      <c r="AI662" s="23"/>
      <c r="AJ662" s="23"/>
      <c r="AK662" s="23"/>
      <c r="AL662" s="23"/>
      <c r="AM662" s="23"/>
      <c r="AN662" s="23"/>
    </row>
    <row r="663" spans="13:40" x14ac:dyDescent="0.2">
      <c r="M663" s="23"/>
      <c r="N663" s="949"/>
      <c r="O663" s="23"/>
      <c r="R663" s="23"/>
      <c r="S663" s="949"/>
      <c r="T663" s="23"/>
      <c r="U663" s="23"/>
      <c r="V663" s="23"/>
      <c r="W663" s="23"/>
      <c r="X663" s="23"/>
      <c r="Y663" s="23"/>
      <c r="Z663" s="23"/>
      <c r="AA663" s="23"/>
      <c r="AB663" s="23"/>
      <c r="AC663" s="23"/>
      <c r="AD663" s="23"/>
      <c r="AE663" s="23"/>
      <c r="AF663" s="23"/>
      <c r="AG663" s="23"/>
      <c r="AH663" s="23"/>
      <c r="AI663" s="23"/>
      <c r="AJ663" s="23"/>
      <c r="AK663" s="23"/>
      <c r="AL663" s="23"/>
      <c r="AM663" s="23"/>
      <c r="AN663" s="23"/>
    </row>
    <row r="664" spans="13:40" x14ac:dyDescent="0.2">
      <c r="M664" s="23"/>
      <c r="N664" s="949"/>
      <c r="O664" s="23"/>
      <c r="R664" s="23"/>
      <c r="S664" s="949"/>
      <c r="T664" s="23"/>
      <c r="U664" s="23"/>
      <c r="V664" s="23"/>
      <c r="W664" s="23"/>
      <c r="X664" s="23"/>
      <c r="Y664" s="23"/>
      <c r="Z664" s="23"/>
      <c r="AA664" s="23"/>
      <c r="AB664" s="23"/>
      <c r="AC664" s="23"/>
      <c r="AD664" s="23"/>
      <c r="AE664" s="23"/>
      <c r="AF664" s="23"/>
      <c r="AG664" s="23"/>
      <c r="AH664" s="23"/>
      <c r="AI664" s="23"/>
      <c r="AJ664" s="23"/>
      <c r="AK664" s="23"/>
      <c r="AL664" s="23"/>
      <c r="AM664" s="23"/>
      <c r="AN664" s="23"/>
    </row>
    <row r="665" spans="13:40" x14ac:dyDescent="0.2">
      <c r="M665" s="23"/>
      <c r="N665" s="949"/>
      <c r="O665" s="23"/>
      <c r="R665" s="23"/>
      <c r="S665" s="949"/>
      <c r="T665" s="23"/>
      <c r="U665" s="23"/>
      <c r="V665" s="23"/>
      <c r="W665" s="23"/>
      <c r="X665" s="23"/>
      <c r="Y665" s="23"/>
      <c r="Z665" s="23"/>
      <c r="AA665" s="23"/>
      <c r="AB665" s="23"/>
      <c r="AC665" s="23"/>
      <c r="AD665" s="23"/>
      <c r="AE665" s="23"/>
      <c r="AF665" s="23"/>
      <c r="AG665" s="23"/>
      <c r="AH665" s="23"/>
      <c r="AI665" s="23"/>
      <c r="AJ665" s="23"/>
      <c r="AK665" s="23"/>
      <c r="AL665" s="23"/>
      <c r="AM665" s="23"/>
      <c r="AN665" s="23"/>
    </row>
    <row r="666" spans="13:40" x14ac:dyDescent="0.2">
      <c r="M666" s="23"/>
      <c r="N666" s="949"/>
      <c r="O666" s="23"/>
      <c r="R666" s="23"/>
      <c r="S666" s="949"/>
      <c r="T666" s="23"/>
      <c r="U666" s="23"/>
      <c r="V666" s="23"/>
      <c r="W666" s="23"/>
      <c r="X666" s="23"/>
      <c r="Y666" s="23"/>
      <c r="Z666" s="23"/>
      <c r="AA666" s="23"/>
      <c r="AB666" s="23"/>
      <c r="AC666" s="23"/>
      <c r="AD666" s="23"/>
      <c r="AE666" s="23"/>
      <c r="AF666" s="23"/>
      <c r="AG666" s="23"/>
      <c r="AH666" s="23"/>
      <c r="AI666" s="23"/>
      <c r="AJ666" s="23"/>
      <c r="AK666" s="23"/>
      <c r="AL666" s="23"/>
      <c r="AM666" s="23"/>
      <c r="AN666" s="23"/>
    </row>
    <row r="667" spans="13:40" x14ac:dyDescent="0.2">
      <c r="M667" s="23"/>
      <c r="N667" s="949"/>
      <c r="O667" s="23"/>
      <c r="R667" s="23"/>
      <c r="S667" s="949"/>
      <c r="T667" s="23"/>
      <c r="U667" s="23"/>
      <c r="V667" s="23"/>
      <c r="W667" s="23"/>
      <c r="X667" s="23"/>
      <c r="Y667" s="23"/>
      <c r="Z667" s="23"/>
      <c r="AA667" s="23"/>
      <c r="AB667" s="23"/>
      <c r="AC667" s="23"/>
      <c r="AD667" s="23"/>
      <c r="AE667" s="23"/>
      <c r="AF667" s="23"/>
      <c r="AG667" s="23"/>
      <c r="AH667" s="23"/>
      <c r="AI667" s="23"/>
      <c r="AJ667" s="23"/>
      <c r="AK667" s="23"/>
      <c r="AL667" s="23"/>
      <c r="AM667" s="23"/>
      <c r="AN667" s="23"/>
    </row>
    <row r="668" spans="13:40" x14ac:dyDescent="0.2">
      <c r="M668" s="23"/>
      <c r="N668" s="949"/>
      <c r="O668" s="23"/>
      <c r="R668" s="23"/>
      <c r="S668" s="949"/>
      <c r="T668" s="23"/>
      <c r="U668" s="23"/>
      <c r="V668" s="23"/>
      <c r="W668" s="23"/>
      <c r="X668" s="23"/>
      <c r="Y668" s="23"/>
      <c r="Z668" s="23"/>
      <c r="AA668" s="23"/>
      <c r="AB668" s="23"/>
      <c r="AC668" s="23"/>
      <c r="AD668" s="23"/>
      <c r="AE668" s="23"/>
      <c r="AF668" s="23"/>
      <c r="AG668" s="23"/>
      <c r="AH668" s="23"/>
      <c r="AI668" s="23"/>
      <c r="AJ668" s="23"/>
      <c r="AK668" s="23"/>
      <c r="AL668" s="23"/>
      <c r="AM668" s="23"/>
      <c r="AN668" s="23"/>
    </row>
    <row r="669" spans="13:40" x14ac:dyDescent="0.2">
      <c r="M669" s="23"/>
      <c r="N669" s="949"/>
      <c r="O669" s="23"/>
      <c r="R669" s="23"/>
      <c r="S669" s="949"/>
      <c r="T669" s="23"/>
      <c r="U669" s="23"/>
      <c r="V669" s="23"/>
      <c r="W669" s="23"/>
      <c r="X669" s="23"/>
      <c r="Y669" s="23"/>
      <c r="Z669" s="23"/>
      <c r="AA669" s="23"/>
      <c r="AB669" s="23"/>
      <c r="AC669" s="23"/>
      <c r="AD669" s="23"/>
      <c r="AE669" s="23"/>
      <c r="AF669" s="23"/>
      <c r="AG669" s="23"/>
      <c r="AH669" s="23"/>
      <c r="AI669" s="23"/>
      <c r="AJ669" s="23"/>
      <c r="AK669" s="23"/>
      <c r="AL669" s="23"/>
      <c r="AM669" s="23"/>
      <c r="AN669" s="23"/>
    </row>
    <row r="670" spans="13:40" x14ac:dyDescent="0.2">
      <c r="M670" s="23"/>
      <c r="N670" s="949"/>
      <c r="O670" s="23"/>
      <c r="R670" s="23"/>
      <c r="S670" s="949"/>
      <c r="T670" s="23"/>
      <c r="U670" s="23"/>
      <c r="V670" s="23"/>
      <c r="W670" s="23"/>
      <c r="X670" s="23"/>
      <c r="Y670" s="23"/>
      <c r="Z670" s="23"/>
      <c r="AA670" s="23"/>
      <c r="AB670" s="23"/>
      <c r="AC670" s="23"/>
      <c r="AD670" s="23"/>
      <c r="AE670" s="23"/>
      <c r="AF670" s="23"/>
      <c r="AG670" s="23"/>
      <c r="AH670" s="23"/>
      <c r="AI670" s="23"/>
      <c r="AJ670" s="23"/>
      <c r="AK670" s="23"/>
      <c r="AL670" s="23"/>
      <c r="AM670" s="23"/>
      <c r="AN670" s="23"/>
    </row>
    <row r="671" spans="13:40" x14ac:dyDescent="0.2">
      <c r="M671" s="23"/>
      <c r="N671" s="949"/>
      <c r="O671" s="23"/>
      <c r="R671" s="23"/>
      <c r="S671" s="949"/>
      <c r="T671" s="23"/>
      <c r="U671" s="23"/>
      <c r="V671" s="23"/>
      <c r="W671" s="23"/>
      <c r="X671" s="23"/>
      <c r="Y671" s="23"/>
      <c r="Z671" s="23"/>
      <c r="AA671" s="23"/>
      <c r="AB671" s="23"/>
      <c r="AC671" s="23"/>
      <c r="AD671" s="23"/>
      <c r="AE671" s="23"/>
      <c r="AF671" s="23"/>
      <c r="AG671" s="23"/>
      <c r="AH671" s="23"/>
      <c r="AI671" s="23"/>
      <c r="AJ671" s="23"/>
      <c r="AK671" s="23"/>
      <c r="AL671" s="23"/>
      <c r="AM671" s="23"/>
      <c r="AN671" s="23"/>
    </row>
    <row r="672" spans="13:40" x14ac:dyDescent="0.2">
      <c r="M672" s="23"/>
      <c r="N672" s="949"/>
      <c r="O672" s="23"/>
      <c r="R672" s="23"/>
      <c r="S672" s="949"/>
      <c r="T672" s="23"/>
      <c r="U672" s="23"/>
      <c r="V672" s="23"/>
      <c r="W672" s="23"/>
      <c r="X672" s="23"/>
      <c r="Y672" s="23"/>
      <c r="Z672" s="23"/>
      <c r="AA672" s="23"/>
      <c r="AB672" s="23"/>
      <c r="AC672" s="23"/>
      <c r="AD672" s="23"/>
      <c r="AE672" s="23"/>
      <c r="AF672" s="23"/>
      <c r="AG672" s="23"/>
      <c r="AH672" s="23"/>
      <c r="AI672" s="23"/>
      <c r="AJ672" s="23"/>
      <c r="AK672" s="23"/>
      <c r="AL672" s="23"/>
      <c r="AM672" s="23"/>
      <c r="AN672" s="23"/>
    </row>
    <row r="673" spans="13:40" x14ac:dyDescent="0.2">
      <c r="M673" s="23"/>
      <c r="N673" s="949"/>
      <c r="O673" s="23"/>
      <c r="R673" s="23"/>
      <c r="S673" s="949"/>
      <c r="T673" s="23"/>
      <c r="U673" s="23"/>
      <c r="V673" s="23"/>
      <c r="W673" s="23"/>
      <c r="X673" s="23"/>
      <c r="Y673" s="23"/>
      <c r="Z673" s="23"/>
      <c r="AA673" s="23"/>
      <c r="AB673" s="23"/>
      <c r="AC673" s="23"/>
      <c r="AD673" s="23"/>
      <c r="AE673" s="23"/>
      <c r="AF673" s="23"/>
      <c r="AG673" s="23"/>
      <c r="AH673" s="23"/>
      <c r="AI673" s="23"/>
      <c r="AJ673" s="23"/>
      <c r="AK673" s="23"/>
      <c r="AL673" s="23"/>
      <c r="AM673" s="23"/>
      <c r="AN673" s="23"/>
    </row>
    <row r="674" spans="13:40" x14ac:dyDescent="0.2">
      <c r="M674" s="23"/>
      <c r="N674" s="949"/>
      <c r="O674" s="23"/>
      <c r="R674" s="23"/>
      <c r="S674" s="949"/>
      <c r="T674" s="23"/>
      <c r="U674" s="23"/>
      <c r="V674" s="23"/>
      <c r="W674" s="23"/>
      <c r="X674" s="23"/>
      <c r="Y674" s="23"/>
      <c r="Z674" s="23"/>
      <c r="AA674" s="23"/>
      <c r="AB674" s="23"/>
      <c r="AC674" s="23"/>
      <c r="AD674" s="23"/>
      <c r="AE674" s="23"/>
      <c r="AF674" s="23"/>
      <c r="AG674" s="23"/>
      <c r="AH674" s="23"/>
      <c r="AI674" s="23"/>
      <c r="AJ674" s="23"/>
      <c r="AK674" s="23"/>
      <c r="AL674" s="23"/>
      <c r="AM674" s="23"/>
      <c r="AN674" s="23"/>
    </row>
    <row r="675" spans="13:40" x14ac:dyDescent="0.2">
      <c r="M675" s="23"/>
      <c r="N675" s="949"/>
      <c r="O675" s="23"/>
      <c r="R675" s="23"/>
      <c r="S675" s="949"/>
      <c r="T675" s="23"/>
      <c r="U675" s="23"/>
      <c r="V675" s="23"/>
      <c r="W675" s="23"/>
      <c r="X675" s="23"/>
      <c r="Y675" s="23"/>
      <c r="Z675" s="23"/>
      <c r="AA675" s="23"/>
      <c r="AB675" s="23"/>
      <c r="AC675" s="23"/>
      <c r="AD675" s="23"/>
      <c r="AE675" s="23"/>
      <c r="AF675" s="23"/>
      <c r="AG675" s="23"/>
      <c r="AH675" s="23"/>
      <c r="AI675" s="23"/>
      <c r="AJ675" s="23"/>
      <c r="AK675" s="23"/>
      <c r="AL675" s="23"/>
      <c r="AM675" s="23"/>
      <c r="AN675" s="23"/>
    </row>
    <row r="676" spans="13:40" x14ac:dyDescent="0.2">
      <c r="M676" s="23"/>
      <c r="N676" s="949"/>
      <c r="O676" s="23"/>
      <c r="R676" s="23"/>
      <c r="S676" s="949"/>
      <c r="T676" s="23"/>
      <c r="U676" s="23"/>
      <c r="V676" s="23"/>
      <c r="W676" s="23"/>
      <c r="X676" s="23"/>
      <c r="Y676" s="23"/>
      <c r="Z676" s="23"/>
      <c r="AA676" s="23"/>
      <c r="AB676" s="23"/>
      <c r="AC676" s="23"/>
      <c r="AD676" s="23"/>
      <c r="AE676" s="23"/>
      <c r="AF676" s="23"/>
      <c r="AG676" s="23"/>
      <c r="AH676" s="23"/>
      <c r="AI676" s="23"/>
      <c r="AJ676" s="23"/>
      <c r="AK676" s="23"/>
      <c r="AL676" s="23"/>
      <c r="AM676" s="23"/>
      <c r="AN676" s="23"/>
    </row>
    <row r="677" spans="13:40" x14ac:dyDescent="0.2">
      <c r="M677" s="23"/>
      <c r="N677" s="949"/>
      <c r="O677" s="23"/>
      <c r="R677" s="23"/>
      <c r="S677" s="949"/>
      <c r="T677" s="23"/>
      <c r="U677" s="23"/>
      <c r="V677" s="23"/>
      <c r="W677" s="23"/>
      <c r="X677" s="23"/>
      <c r="Y677" s="23"/>
      <c r="Z677" s="23"/>
      <c r="AA677" s="23"/>
      <c r="AB677" s="23"/>
      <c r="AC677" s="23"/>
      <c r="AD677" s="23"/>
      <c r="AE677" s="23"/>
      <c r="AF677" s="23"/>
      <c r="AG677" s="23"/>
      <c r="AH677" s="23"/>
      <c r="AI677" s="23"/>
      <c r="AJ677" s="23"/>
      <c r="AK677" s="23"/>
      <c r="AL677" s="23"/>
      <c r="AM677" s="23"/>
      <c r="AN677" s="23"/>
    </row>
    <row r="678" spans="13:40" x14ac:dyDescent="0.2">
      <c r="M678" s="23"/>
      <c r="N678" s="949"/>
      <c r="O678" s="23"/>
      <c r="R678" s="23"/>
      <c r="S678" s="949"/>
      <c r="T678" s="23"/>
      <c r="U678" s="23"/>
      <c r="V678" s="23"/>
      <c r="W678" s="23"/>
      <c r="X678" s="23"/>
      <c r="Y678" s="23"/>
      <c r="Z678" s="23"/>
      <c r="AA678" s="23"/>
      <c r="AB678" s="23"/>
      <c r="AC678" s="23"/>
      <c r="AD678" s="23"/>
      <c r="AE678" s="23"/>
      <c r="AF678" s="23"/>
      <c r="AG678" s="23"/>
      <c r="AH678" s="23"/>
      <c r="AI678" s="23"/>
      <c r="AJ678" s="23"/>
      <c r="AK678" s="23"/>
      <c r="AL678" s="23"/>
      <c r="AM678" s="23"/>
      <c r="AN678" s="23"/>
    </row>
    <row r="679" spans="13:40" x14ac:dyDescent="0.2">
      <c r="M679" s="23"/>
      <c r="N679" s="949"/>
      <c r="O679" s="23"/>
      <c r="R679" s="23"/>
      <c r="S679" s="949"/>
      <c r="T679" s="23"/>
      <c r="U679" s="23"/>
      <c r="V679" s="23"/>
      <c r="W679" s="23"/>
      <c r="X679" s="23"/>
      <c r="Y679" s="23"/>
      <c r="Z679" s="23"/>
      <c r="AA679" s="23"/>
      <c r="AB679" s="23"/>
      <c r="AC679" s="23"/>
      <c r="AD679" s="23"/>
      <c r="AE679" s="23"/>
      <c r="AF679" s="23"/>
      <c r="AG679" s="23"/>
      <c r="AH679" s="23"/>
      <c r="AI679" s="23"/>
      <c r="AJ679" s="23"/>
      <c r="AK679" s="23"/>
      <c r="AL679" s="23"/>
      <c r="AM679" s="23"/>
      <c r="AN679" s="23"/>
    </row>
    <row r="680" spans="13:40" x14ac:dyDescent="0.2">
      <c r="M680" s="23"/>
      <c r="N680" s="949"/>
      <c r="O680" s="23"/>
      <c r="R680" s="23"/>
      <c r="S680" s="949"/>
      <c r="T680" s="23"/>
      <c r="U680" s="23"/>
      <c r="V680" s="23"/>
      <c r="W680" s="23"/>
      <c r="X680" s="23"/>
      <c r="Y680" s="23"/>
      <c r="Z680" s="23"/>
      <c r="AA680" s="23"/>
      <c r="AB680" s="23"/>
      <c r="AC680" s="23"/>
      <c r="AD680" s="23"/>
      <c r="AE680" s="23"/>
      <c r="AF680" s="23"/>
      <c r="AG680" s="23"/>
      <c r="AH680" s="23"/>
      <c r="AI680" s="23"/>
      <c r="AJ680" s="23"/>
      <c r="AK680" s="23"/>
      <c r="AL680" s="23"/>
      <c r="AM680" s="23"/>
      <c r="AN680" s="23"/>
    </row>
    <row r="681" spans="13:40" x14ac:dyDescent="0.2">
      <c r="M681" s="23"/>
      <c r="N681" s="949"/>
      <c r="O681" s="23"/>
      <c r="R681" s="23"/>
      <c r="S681" s="949"/>
      <c r="T681" s="23"/>
      <c r="U681" s="23"/>
      <c r="V681" s="23"/>
      <c r="W681" s="23"/>
      <c r="X681" s="23"/>
      <c r="Y681" s="23"/>
      <c r="Z681" s="23"/>
      <c r="AA681" s="23"/>
      <c r="AB681" s="23"/>
      <c r="AC681" s="23"/>
      <c r="AD681" s="23"/>
      <c r="AE681" s="23"/>
      <c r="AF681" s="23"/>
      <c r="AG681" s="23"/>
      <c r="AH681" s="23"/>
      <c r="AI681" s="23"/>
      <c r="AJ681" s="23"/>
      <c r="AK681" s="23"/>
      <c r="AL681" s="23"/>
      <c r="AM681" s="23"/>
      <c r="AN681" s="23"/>
    </row>
    <row r="682" spans="13:40" x14ac:dyDescent="0.2">
      <c r="M682" s="23"/>
      <c r="N682" s="949"/>
      <c r="O682" s="23"/>
      <c r="R682" s="23"/>
      <c r="S682" s="949"/>
      <c r="T682" s="23"/>
      <c r="U682" s="23"/>
      <c r="V682" s="23"/>
      <c r="W682" s="23"/>
      <c r="X682" s="23"/>
      <c r="Y682" s="23"/>
      <c r="Z682" s="23"/>
      <c r="AA682" s="23"/>
      <c r="AB682" s="23"/>
      <c r="AC682" s="23"/>
      <c r="AD682" s="23"/>
      <c r="AE682" s="23"/>
      <c r="AF682" s="23"/>
      <c r="AG682" s="23"/>
      <c r="AH682" s="23"/>
      <c r="AI682" s="23"/>
      <c r="AJ682" s="23"/>
      <c r="AK682" s="23"/>
      <c r="AL682" s="23"/>
      <c r="AM682" s="23"/>
      <c r="AN682" s="23"/>
    </row>
    <row r="683" spans="13:40" x14ac:dyDescent="0.2">
      <c r="M683" s="23"/>
      <c r="N683" s="949"/>
      <c r="O683" s="23"/>
      <c r="R683" s="23"/>
      <c r="S683" s="949"/>
      <c r="T683" s="23"/>
      <c r="U683" s="23"/>
      <c r="V683" s="23"/>
      <c r="W683" s="23"/>
      <c r="X683" s="23"/>
      <c r="Y683" s="23"/>
      <c r="Z683" s="23"/>
      <c r="AA683" s="23"/>
      <c r="AB683" s="23"/>
      <c r="AC683" s="23"/>
      <c r="AD683" s="23"/>
      <c r="AE683" s="23"/>
      <c r="AF683" s="23"/>
      <c r="AG683" s="23"/>
      <c r="AH683" s="23"/>
      <c r="AI683" s="23"/>
      <c r="AJ683" s="23"/>
      <c r="AK683" s="23"/>
      <c r="AL683" s="23"/>
      <c r="AM683" s="23"/>
      <c r="AN683" s="23"/>
    </row>
    <row r="684" spans="13:40" x14ac:dyDescent="0.2">
      <c r="M684" s="23"/>
      <c r="N684" s="949"/>
      <c r="O684" s="23"/>
      <c r="R684" s="23"/>
      <c r="S684" s="949"/>
      <c r="T684" s="23"/>
      <c r="U684" s="23"/>
      <c r="V684" s="23"/>
      <c r="W684" s="23"/>
      <c r="X684" s="23"/>
      <c r="Y684" s="23"/>
      <c r="Z684" s="23"/>
      <c r="AA684" s="23"/>
      <c r="AB684" s="23"/>
      <c r="AC684" s="23"/>
      <c r="AD684" s="23"/>
      <c r="AE684" s="23"/>
      <c r="AF684" s="23"/>
      <c r="AG684" s="23"/>
      <c r="AH684" s="23"/>
      <c r="AI684" s="23"/>
      <c r="AJ684" s="23"/>
      <c r="AK684" s="23"/>
      <c r="AL684" s="23"/>
      <c r="AM684" s="23"/>
      <c r="AN684" s="23"/>
    </row>
    <row r="685" spans="13:40" x14ac:dyDescent="0.2">
      <c r="M685" s="23"/>
      <c r="N685" s="949"/>
      <c r="O685" s="23"/>
      <c r="R685" s="23"/>
      <c r="S685" s="949"/>
      <c r="T685" s="23"/>
      <c r="U685" s="23"/>
      <c r="V685" s="23"/>
      <c r="W685" s="23"/>
      <c r="X685" s="23"/>
      <c r="Y685" s="23"/>
      <c r="Z685" s="23"/>
      <c r="AA685" s="23"/>
      <c r="AB685" s="23"/>
      <c r="AC685" s="23"/>
      <c r="AD685" s="23"/>
      <c r="AE685" s="23"/>
      <c r="AF685" s="23"/>
      <c r="AG685" s="23"/>
      <c r="AH685" s="23"/>
      <c r="AI685" s="23"/>
      <c r="AJ685" s="23"/>
      <c r="AK685" s="23"/>
      <c r="AL685" s="23"/>
      <c r="AM685" s="23"/>
      <c r="AN685" s="23"/>
    </row>
    <row r="686" spans="13:40" x14ac:dyDescent="0.2">
      <c r="M686" s="23"/>
      <c r="N686" s="949"/>
      <c r="O686" s="23"/>
      <c r="R686" s="23"/>
      <c r="S686" s="949"/>
      <c r="T686" s="23"/>
      <c r="U686" s="23"/>
      <c r="V686" s="23"/>
      <c r="W686" s="23"/>
      <c r="X686" s="23"/>
      <c r="Y686" s="23"/>
      <c r="Z686" s="23"/>
      <c r="AA686" s="23"/>
      <c r="AB686" s="23"/>
      <c r="AC686" s="23"/>
      <c r="AD686" s="23"/>
      <c r="AE686" s="23"/>
      <c r="AF686" s="23"/>
      <c r="AG686" s="23"/>
      <c r="AH686" s="23"/>
      <c r="AI686" s="23"/>
      <c r="AJ686" s="23"/>
      <c r="AK686" s="23"/>
      <c r="AL686" s="23"/>
      <c r="AM686" s="23"/>
      <c r="AN686" s="23"/>
    </row>
    <row r="687" spans="13:40" x14ac:dyDescent="0.2">
      <c r="M687" s="23"/>
      <c r="N687" s="949"/>
      <c r="O687" s="23"/>
      <c r="R687" s="23"/>
      <c r="S687" s="949"/>
      <c r="T687" s="23"/>
      <c r="U687" s="23"/>
      <c r="V687" s="23"/>
      <c r="W687" s="23"/>
      <c r="X687" s="23"/>
      <c r="Y687" s="23"/>
      <c r="Z687" s="23"/>
      <c r="AA687" s="23"/>
      <c r="AB687" s="23"/>
      <c r="AC687" s="23"/>
      <c r="AD687" s="23"/>
      <c r="AE687" s="23"/>
      <c r="AF687" s="23"/>
      <c r="AG687" s="23"/>
      <c r="AH687" s="23"/>
      <c r="AI687" s="23"/>
      <c r="AJ687" s="23"/>
      <c r="AK687" s="23"/>
      <c r="AL687" s="23"/>
      <c r="AM687" s="23"/>
      <c r="AN687" s="23"/>
    </row>
    <row r="688" spans="13:40" x14ac:dyDescent="0.2">
      <c r="M688" s="23"/>
      <c r="N688" s="949"/>
      <c r="O688" s="23"/>
      <c r="R688" s="23"/>
      <c r="S688" s="949"/>
      <c r="T688" s="23"/>
      <c r="U688" s="23"/>
      <c r="V688" s="23"/>
      <c r="W688" s="23"/>
      <c r="X688" s="23"/>
      <c r="Y688" s="23"/>
      <c r="Z688" s="23"/>
      <c r="AA688" s="23"/>
      <c r="AB688" s="23"/>
      <c r="AC688" s="23"/>
      <c r="AD688" s="23"/>
      <c r="AE688" s="23"/>
      <c r="AF688" s="23"/>
      <c r="AG688" s="23"/>
      <c r="AH688" s="23"/>
      <c r="AI688" s="23"/>
      <c r="AJ688" s="23"/>
      <c r="AK688" s="23"/>
      <c r="AL688" s="23"/>
      <c r="AM688" s="23"/>
      <c r="AN688" s="23"/>
    </row>
    <row r="689" spans="13:40" x14ac:dyDescent="0.2">
      <c r="M689" s="23"/>
      <c r="N689" s="949"/>
      <c r="O689" s="23"/>
      <c r="R689" s="23"/>
      <c r="S689" s="949"/>
      <c r="T689" s="23"/>
      <c r="U689" s="23"/>
      <c r="V689" s="23"/>
      <c r="W689" s="23"/>
      <c r="X689" s="23"/>
      <c r="Y689" s="23"/>
      <c r="Z689" s="23"/>
      <c r="AA689" s="23"/>
      <c r="AB689" s="23"/>
      <c r="AC689" s="23"/>
      <c r="AD689" s="23"/>
      <c r="AE689" s="23"/>
      <c r="AF689" s="23"/>
      <c r="AG689" s="23"/>
      <c r="AH689" s="23"/>
      <c r="AI689" s="23"/>
      <c r="AJ689" s="23"/>
      <c r="AK689" s="23"/>
      <c r="AL689" s="23"/>
      <c r="AM689" s="23"/>
      <c r="AN689" s="23"/>
    </row>
    <row r="690" spans="13:40" x14ac:dyDescent="0.2">
      <c r="M690" s="23"/>
      <c r="N690" s="949"/>
      <c r="O690" s="23"/>
      <c r="R690" s="23"/>
      <c r="S690" s="949"/>
      <c r="T690" s="23"/>
      <c r="U690" s="23"/>
      <c r="V690" s="23"/>
      <c r="W690" s="23"/>
      <c r="X690" s="23"/>
      <c r="Y690" s="23"/>
      <c r="Z690" s="23"/>
      <c r="AA690" s="23"/>
      <c r="AB690" s="23"/>
      <c r="AC690" s="23"/>
      <c r="AD690" s="23"/>
      <c r="AE690" s="23"/>
      <c r="AF690" s="23"/>
      <c r="AG690" s="23"/>
      <c r="AH690" s="23"/>
      <c r="AI690" s="23"/>
      <c r="AJ690" s="23"/>
      <c r="AK690" s="23"/>
      <c r="AL690" s="23"/>
      <c r="AM690" s="23"/>
      <c r="AN690" s="23"/>
    </row>
    <row r="691" spans="13:40" x14ac:dyDescent="0.2">
      <c r="M691" s="23"/>
      <c r="N691" s="949"/>
      <c r="O691" s="23"/>
      <c r="R691" s="23"/>
      <c r="S691" s="949"/>
      <c r="T691" s="23"/>
      <c r="U691" s="23"/>
      <c r="V691" s="23"/>
      <c r="W691" s="23"/>
      <c r="X691" s="23"/>
      <c r="Y691" s="23"/>
      <c r="Z691" s="23"/>
      <c r="AA691" s="23"/>
      <c r="AB691" s="23"/>
      <c r="AC691" s="23"/>
      <c r="AD691" s="23"/>
      <c r="AE691" s="23"/>
      <c r="AF691" s="23"/>
      <c r="AG691" s="23"/>
      <c r="AH691" s="23"/>
      <c r="AI691" s="23"/>
      <c r="AJ691" s="23"/>
      <c r="AK691" s="23"/>
      <c r="AL691" s="23"/>
      <c r="AM691" s="23"/>
      <c r="AN691" s="23"/>
    </row>
    <row r="692" spans="13:40" x14ac:dyDescent="0.2">
      <c r="M692" s="23"/>
      <c r="N692" s="949"/>
      <c r="O692" s="23"/>
      <c r="R692" s="23"/>
      <c r="S692" s="949"/>
      <c r="T692" s="23"/>
      <c r="U692" s="23"/>
      <c r="V692" s="23"/>
      <c r="W692" s="23"/>
      <c r="X692" s="23"/>
      <c r="Y692" s="23"/>
      <c r="Z692" s="23"/>
      <c r="AA692" s="23"/>
      <c r="AB692" s="23"/>
      <c r="AC692" s="23"/>
      <c r="AD692" s="23"/>
      <c r="AE692" s="23"/>
      <c r="AF692" s="23"/>
      <c r="AG692" s="23"/>
      <c r="AH692" s="23"/>
      <c r="AI692" s="23"/>
      <c r="AJ692" s="23"/>
      <c r="AK692" s="23"/>
      <c r="AL692" s="23"/>
      <c r="AM692" s="23"/>
      <c r="AN692" s="23"/>
    </row>
    <row r="693" spans="13:40" x14ac:dyDescent="0.2">
      <c r="M693" s="23"/>
      <c r="N693" s="949"/>
      <c r="O693" s="23"/>
      <c r="R693" s="23"/>
      <c r="S693" s="949"/>
      <c r="T693" s="23"/>
      <c r="U693" s="23"/>
      <c r="V693" s="23"/>
      <c r="W693" s="23"/>
      <c r="X693" s="23"/>
      <c r="Y693" s="23"/>
      <c r="Z693" s="23"/>
      <c r="AA693" s="23"/>
      <c r="AB693" s="23"/>
      <c r="AC693" s="23"/>
      <c r="AD693" s="23"/>
      <c r="AE693" s="23"/>
      <c r="AF693" s="23"/>
      <c r="AG693" s="23"/>
      <c r="AH693" s="23"/>
      <c r="AI693" s="23"/>
      <c r="AJ693" s="23"/>
      <c r="AK693" s="23"/>
      <c r="AL693" s="23"/>
      <c r="AM693" s="23"/>
      <c r="AN693" s="23"/>
    </row>
    <row r="694" spans="13:40" x14ac:dyDescent="0.2">
      <c r="M694" s="23"/>
      <c r="N694" s="949"/>
      <c r="O694" s="23"/>
      <c r="R694" s="23"/>
      <c r="S694" s="949"/>
      <c r="T694" s="23"/>
      <c r="U694" s="23"/>
      <c r="V694" s="23"/>
      <c r="W694" s="23"/>
      <c r="X694" s="23"/>
      <c r="Y694" s="23"/>
      <c r="Z694" s="23"/>
      <c r="AA694" s="23"/>
      <c r="AB694" s="23"/>
      <c r="AC694" s="23"/>
      <c r="AD694" s="23"/>
      <c r="AE694" s="23"/>
      <c r="AF694" s="23"/>
      <c r="AG694" s="23"/>
      <c r="AH694" s="23"/>
      <c r="AI694" s="23"/>
      <c r="AJ694" s="23"/>
      <c r="AK694" s="23"/>
      <c r="AL694" s="23"/>
      <c r="AM694" s="23"/>
      <c r="AN694" s="23"/>
    </row>
    <row r="695" spans="13:40" x14ac:dyDescent="0.2">
      <c r="M695" s="23"/>
      <c r="N695" s="949"/>
      <c r="O695" s="23"/>
      <c r="R695" s="23"/>
      <c r="S695" s="949"/>
      <c r="T695" s="23"/>
      <c r="U695" s="23"/>
      <c r="V695" s="23"/>
      <c r="W695" s="23"/>
      <c r="X695" s="23"/>
      <c r="Y695" s="23"/>
      <c r="Z695" s="23"/>
      <c r="AA695" s="23"/>
      <c r="AB695" s="23"/>
      <c r="AC695" s="23"/>
      <c r="AD695" s="23"/>
      <c r="AE695" s="23"/>
      <c r="AF695" s="23"/>
      <c r="AG695" s="23"/>
      <c r="AH695" s="23"/>
      <c r="AI695" s="23"/>
      <c r="AJ695" s="23"/>
      <c r="AK695" s="23"/>
      <c r="AL695" s="23"/>
      <c r="AM695" s="23"/>
      <c r="AN695" s="23"/>
    </row>
    <row r="696" spans="13:40" x14ac:dyDescent="0.2">
      <c r="M696" s="23"/>
      <c r="N696" s="949"/>
      <c r="O696" s="23"/>
      <c r="R696" s="23"/>
      <c r="S696" s="949"/>
      <c r="T696" s="23"/>
      <c r="U696" s="23"/>
      <c r="V696" s="23"/>
      <c r="W696" s="23"/>
      <c r="X696" s="23"/>
      <c r="Y696" s="23"/>
      <c r="Z696" s="23"/>
      <c r="AA696" s="23"/>
      <c r="AB696" s="23"/>
      <c r="AC696" s="23"/>
      <c r="AD696" s="23"/>
      <c r="AE696" s="23"/>
      <c r="AF696" s="23"/>
      <c r="AG696" s="23"/>
      <c r="AH696" s="23"/>
      <c r="AI696" s="23"/>
      <c r="AJ696" s="23"/>
      <c r="AK696" s="23"/>
      <c r="AL696" s="23"/>
      <c r="AM696" s="23"/>
      <c r="AN696" s="23"/>
    </row>
    <row r="697" spans="13:40" x14ac:dyDescent="0.2">
      <c r="M697" s="23"/>
      <c r="N697" s="949"/>
      <c r="O697" s="23"/>
      <c r="R697" s="23"/>
      <c r="S697" s="949"/>
      <c r="T697" s="23"/>
      <c r="U697" s="23"/>
      <c r="V697" s="23"/>
      <c r="W697" s="23"/>
      <c r="X697" s="23"/>
      <c r="Y697" s="23"/>
      <c r="Z697" s="23"/>
      <c r="AA697" s="23"/>
      <c r="AB697" s="23"/>
      <c r="AC697" s="23"/>
      <c r="AD697" s="23"/>
      <c r="AE697" s="23"/>
      <c r="AF697" s="23"/>
      <c r="AG697" s="23"/>
      <c r="AH697" s="23"/>
      <c r="AI697" s="23"/>
      <c r="AJ697" s="23"/>
      <c r="AK697" s="23"/>
      <c r="AL697" s="23"/>
      <c r="AM697" s="23"/>
      <c r="AN697" s="23"/>
    </row>
    <row r="698" spans="13:40" x14ac:dyDescent="0.2">
      <c r="M698" s="23"/>
      <c r="N698" s="949"/>
      <c r="O698" s="23"/>
      <c r="R698" s="23"/>
      <c r="S698" s="949"/>
      <c r="T698" s="23"/>
      <c r="U698" s="23"/>
      <c r="V698" s="23"/>
      <c r="W698" s="23"/>
      <c r="X698" s="23"/>
      <c r="Y698" s="23"/>
      <c r="Z698" s="23"/>
      <c r="AA698" s="23"/>
      <c r="AB698" s="23"/>
      <c r="AC698" s="23"/>
      <c r="AD698" s="23"/>
      <c r="AE698" s="23"/>
      <c r="AF698" s="23"/>
      <c r="AG698" s="23"/>
      <c r="AH698" s="23"/>
      <c r="AI698" s="23"/>
      <c r="AJ698" s="23"/>
      <c r="AK698" s="23"/>
      <c r="AL698" s="23"/>
      <c r="AM698" s="23"/>
      <c r="AN698" s="23"/>
    </row>
    <row r="699" spans="13:40" x14ac:dyDescent="0.2">
      <c r="M699" s="23"/>
      <c r="N699" s="949"/>
      <c r="O699" s="23"/>
      <c r="R699" s="23"/>
      <c r="S699" s="949"/>
      <c r="T699" s="23"/>
      <c r="U699" s="23"/>
      <c r="V699" s="23"/>
      <c r="W699" s="23"/>
      <c r="X699" s="23"/>
      <c r="Y699" s="23"/>
      <c r="Z699" s="23"/>
      <c r="AA699" s="23"/>
      <c r="AB699" s="23"/>
      <c r="AC699" s="23"/>
      <c r="AD699" s="23"/>
      <c r="AE699" s="23"/>
      <c r="AF699" s="23"/>
      <c r="AG699" s="23"/>
      <c r="AH699" s="23"/>
      <c r="AI699" s="23"/>
      <c r="AJ699" s="23"/>
      <c r="AK699" s="23"/>
      <c r="AL699" s="23"/>
      <c r="AM699" s="23"/>
      <c r="AN699" s="23"/>
    </row>
    <row r="700" spans="13:40" x14ac:dyDescent="0.2">
      <c r="M700" s="23"/>
      <c r="N700" s="949"/>
      <c r="O700" s="23"/>
      <c r="R700" s="23"/>
      <c r="S700" s="949"/>
      <c r="T700" s="23"/>
      <c r="U700" s="23"/>
      <c r="V700" s="23"/>
      <c r="W700" s="23"/>
      <c r="X700" s="23"/>
      <c r="Y700" s="23"/>
      <c r="Z700" s="23"/>
      <c r="AA700" s="23"/>
      <c r="AB700" s="23"/>
      <c r="AC700" s="23"/>
      <c r="AD700" s="23"/>
      <c r="AE700" s="23"/>
      <c r="AF700" s="23"/>
      <c r="AG700" s="23"/>
      <c r="AH700" s="23"/>
      <c r="AI700" s="23"/>
      <c r="AJ700" s="23"/>
      <c r="AK700" s="23"/>
      <c r="AL700" s="23"/>
      <c r="AM700" s="23"/>
      <c r="AN700" s="23"/>
    </row>
    <row r="701" spans="13:40" x14ac:dyDescent="0.2">
      <c r="M701" s="23"/>
      <c r="N701" s="949"/>
      <c r="O701" s="23"/>
      <c r="R701" s="23"/>
      <c r="S701" s="949"/>
      <c r="T701" s="23"/>
      <c r="U701" s="23"/>
      <c r="V701" s="23"/>
      <c r="W701" s="23"/>
      <c r="X701" s="23"/>
      <c r="Y701" s="23"/>
      <c r="Z701" s="23"/>
      <c r="AA701" s="23"/>
      <c r="AB701" s="23"/>
      <c r="AC701" s="23"/>
      <c r="AD701" s="23"/>
      <c r="AE701" s="23"/>
      <c r="AF701" s="23"/>
      <c r="AG701" s="23"/>
      <c r="AH701" s="23"/>
      <c r="AI701" s="23"/>
      <c r="AJ701" s="23"/>
      <c r="AK701" s="23"/>
      <c r="AL701" s="23"/>
      <c r="AM701" s="23"/>
      <c r="AN701" s="23"/>
    </row>
    <row r="702" spans="13:40" x14ac:dyDescent="0.2">
      <c r="M702" s="23"/>
      <c r="N702" s="949"/>
      <c r="O702" s="23"/>
      <c r="R702" s="23"/>
      <c r="S702" s="949"/>
      <c r="T702" s="23"/>
      <c r="U702" s="23"/>
      <c r="V702" s="23"/>
      <c r="W702" s="23"/>
      <c r="X702" s="23"/>
      <c r="Y702" s="23"/>
      <c r="Z702" s="23"/>
      <c r="AA702" s="23"/>
      <c r="AB702" s="23"/>
      <c r="AC702" s="23"/>
      <c r="AD702" s="23"/>
      <c r="AE702" s="23"/>
      <c r="AF702" s="23"/>
      <c r="AG702" s="23"/>
      <c r="AH702" s="23"/>
      <c r="AI702" s="23"/>
      <c r="AJ702" s="23"/>
      <c r="AK702" s="23"/>
      <c r="AL702" s="23"/>
      <c r="AM702" s="23"/>
      <c r="AN702" s="23"/>
    </row>
    <row r="703" spans="13:40" x14ac:dyDescent="0.2">
      <c r="M703" s="23"/>
      <c r="N703" s="949"/>
      <c r="O703" s="23"/>
      <c r="R703" s="23"/>
      <c r="S703" s="949"/>
      <c r="T703" s="23"/>
      <c r="U703" s="23"/>
      <c r="V703" s="23"/>
      <c r="W703" s="23"/>
      <c r="X703" s="23"/>
      <c r="Y703" s="23"/>
      <c r="Z703" s="23"/>
      <c r="AA703" s="23"/>
      <c r="AB703" s="23"/>
      <c r="AC703" s="23"/>
      <c r="AD703" s="23"/>
      <c r="AE703" s="23"/>
      <c r="AF703" s="23"/>
      <c r="AG703" s="23"/>
      <c r="AH703" s="23"/>
      <c r="AI703" s="23"/>
      <c r="AJ703" s="23"/>
      <c r="AK703" s="23"/>
      <c r="AL703" s="23"/>
      <c r="AM703" s="23"/>
      <c r="AN703" s="23"/>
    </row>
    <row r="704" spans="13:40" x14ac:dyDescent="0.2">
      <c r="M704" s="23"/>
      <c r="N704" s="949"/>
      <c r="O704" s="23"/>
      <c r="R704" s="23"/>
      <c r="S704" s="949"/>
      <c r="T704" s="23"/>
      <c r="U704" s="23"/>
      <c r="V704" s="23"/>
      <c r="W704" s="23"/>
      <c r="X704" s="23"/>
      <c r="Y704" s="23"/>
      <c r="Z704" s="23"/>
      <c r="AA704" s="23"/>
      <c r="AB704" s="23"/>
      <c r="AC704" s="23"/>
      <c r="AD704" s="23"/>
      <c r="AE704" s="23"/>
      <c r="AF704" s="23"/>
      <c r="AG704" s="23"/>
      <c r="AH704" s="23"/>
      <c r="AI704" s="23"/>
      <c r="AJ704" s="23"/>
      <c r="AK704" s="23"/>
      <c r="AL704" s="23"/>
      <c r="AM704" s="23"/>
      <c r="AN704" s="23"/>
    </row>
    <row r="705" spans="13:40" x14ac:dyDescent="0.2">
      <c r="M705" s="23"/>
      <c r="N705" s="949"/>
      <c r="O705" s="23"/>
      <c r="R705" s="23"/>
      <c r="S705" s="949"/>
      <c r="T705" s="23"/>
      <c r="U705" s="23"/>
      <c r="V705" s="23"/>
      <c r="W705" s="23"/>
      <c r="X705" s="23"/>
      <c r="Y705" s="23"/>
      <c r="Z705" s="23"/>
      <c r="AA705" s="23"/>
      <c r="AB705" s="23"/>
      <c r="AC705" s="23"/>
      <c r="AD705" s="23"/>
      <c r="AE705" s="23"/>
      <c r="AF705" s="23"/>
      <c r="AG705" s="23"/>
      <c r="AH705" s="23"/>
      <c r="AI705" s="23"/>
      <c r="AJ705" s="23"/>
      <c r="AK705" s="23"/>
      <c r="AL705" s="23"/>
      <c r="AM705" s="23"/>
      <c r="AN705" s="23"/>
    </row>
    <row r="706" spans="13:40" x14ac:dyDescent="0.2">
      <c r="M706" s="23"/>
      <c r="N706" s="949"/>
      <c r="O706" s="23"/>
      <c r="R706" s="23"/>
      <c r="S706" s="949"/>
      <c r="T706" s="23"/>
      <c r="U706" s="23"/>
      <c r="V706" s="23"/>
      <c r="W706" s="23"/>
      <c r="X706" s="23"/>
      <c r="Y706" s="23"/>
      <c r="Z706" s="23"/>
      <c r="AA706" s="23"/>
      <c r="AB706" s="23"/>
      <c r="AC706" s="23"/>
      <c r="AD706" s="23"/>
      <c r="AE706" s="23"/>
      <c r="AF706" s="23"/>
      <c r="AG706" s="23"/>
      <c r="AH706" s="23"/>
      <c r="AI706" s="23"/>
      <c r="AJ706" s="23"/>
      <c r="AK706" s="23"/>
      <c r="AL706" s="23"/>
      <c r="AM706" s="23"/>
      <c r="AN706" s="23"/>
    </row>
    <row r="707" spans="13:40" x14ac:dyDescent="0.2">
      <c r="M707" s="23"/>
      <c r="N707" s="949"/>
      <c r="O707" s="23"/>
      <c r="R707" s="23"/>
      <c r="S707" s="949"/>
      <c r="T707" s="23"/>
      <c r="U707" s="23"/>
      <c r="V707" s="23"/>
      <c r="W707" s="23"/>
      <c r="X707" s="23"/>
      <c r="Y707" s="23"/>
      <c r="Z707" s="23"/>
      <c r="AA707" s="23"/>
      <c r="AB707" s="23"/>
      <c r="AC707" s="23"/>
      <c r="AD707" s="23"/>
      <c r="AE707" s="23"/>
      <c r="AF707" s="23"/>
      <c r="AG707" s="23"/>
      <c r="AH707" s="23"/>
      <c r="AI707" s="23"/>
      <c r="AJ707" s="23"/>
      <c r="AK707" s="23"/>
      <c r="AL707" s="23"/>
      <c r="AM707" s="23"/>
      <c r="AN707" s="23"/>
    </row>
    <row r="708" spans="13:40" x14ac:dyDescent="0.2">
      <c r="M708" s="23"/>
      <c r="N708" s="949"/>
      <c r="O708" s="23"/>
      <c r="R708" s="23"/>
      <c r="S708" s="949"/>
      <c r="T708" s="23"/>
      <c r="U708" s="23"/>
      <c r="V708" s="23"/>
      <c r="W708" s="23"/>
      <c r="X708" s="23"/>
      <c r="Y708" s="23"/>
      <c r="Z708" s="23"/>
      <c r="AA708" s="23"/>
      <c r="AB708" s="23"/>
      <c r="AC708" s="23"/>
      <c r="AD708" s="23"/>
      <c r="AE708" s="23"/>
      <c r="AF708" s="23"/>
      <c r="AG708" s="23"/>
      <c r="AH708" s="23"/>
      <c r="AI708" s="23"/>
      <c r="AJ708" s="23"/>
      <c r="AK708" s="23"/>
      <c r="AL708" s="23"/>
      <c r="AM708" s="23"/>
      <c r="AN708" s="23"/>
    </row>
    <row r="709" spans="13:40" x14ac:dyDescent="0.2">
      <c r="M709" s="23"/>
      <c r="N709" s="949"/>
      <c r="O709" s="23"/>
      <c r="R709" s="23"/>
      <c r="S709" s="949"/>
      <c r="T709" s="23"/>
      <c r="U709" s="23"/>
      <c r="V709" s="23"/>
      <c r="W709" s="23"/>
      <c r="X709" s="23"/>
      <c r="Y709" s="23"/>
      <c r="Z709" s="23"/>
      <c r="AA709" s="23"/>
      <c r="AB709" s="23"/>
      <c r="AC709" s="23"/>
      <c r="AD709" s="23"/>
      <c r="AE709" s="23"/>
      <c r="AF709" s="23"/>
      <c r="AG709" s="23"/>
      <c r="AH709" s="23"/>
      <c r="AI709" s="23"/>
      <c r="AJ709" s="23"/>
      <c r="AK709" s="23"/>
      <c r="AL709" s="23"/>
      <c r="AM709" s="23"/>
      <c r="AN709" s="23"/>
    </row>
    <row r="710" spans="13:40" x14ac:dyDescent="0.2">
      <c r="M710" s="23"/>
      <c r="N710" s="949"/>
      <c r="O710" s="23"/>
      <c r="R710" s="23"/>
      <c r="S710" s="949"/>
      <c r="T710" s="23"/>
      <c r="U710" s="23"/>
      <c r="V710" s="23"/>
      <c r="W710" s="23"/>
      <c r="X710" s="23"/>
      <c r="Y710" s="23"/>
      <c r="Z710" s="23"/>
      <c r="AA710" s="23"/>
      <c r="AB710" s="23"/>
      <c r="AC710" s="23"/>
      <c r="AD710" s="23"/>
      <c r="AE710" s="23"/>
      <c r="AF710" s="23"/>
      <c r="AG710" s="23"/>
      <c r="AH710" s="23"/>
      <c r="AI710" s="23"/>
      <c r="AJ710" s="23"/>
      <c r="AK710" s="23"/>
      <c r="AL710" s="23"/>
      <c r="AM710" s="23"/>
      <c r="AN710" s="23"/>
    </row>
    <row r="711" spans="13:40" x14ac:dyDescent="0.2">
      <c r="M711" s="23"/>
      <c r="N711" s="949"/>
      <c r="O711" s="23"/>
      <c r="R711" s="23"/>
      <c r="S711" s="949"/>
      <c r="T711" s="23"/>
      <c r="U711" s="23"/>
      <c r="V711" s="23"/>
      <c r="W711" s="23"/>
      <c r="X711" s="23"/>
      <c r="Y711" s="23"/>
      <c r="Z711" s="23"/>
      <c r="AA711" s="23"/>
      <c r="AB711" s="23"/>
      <c r="AC711" s="23"/>
      <c r="AD711" s="23"/>
      <c r="AE711" s="23"/>
      <c r="AF711" s="23"/>
      <c r="AG711" s="23"/>
      <c r="AH711" s="23"/>
      <c r="AI711" s="23"/>
      <c r="AJ711" s="23"/>
      <c r="AK711" s="23"/>
      <c r="AL711" s="23"/>
      <c r="AM711" s="23"/>
      <c r="AN711" s="23"/>
    </row>
    <row r="712" spans="13:40" x14ac:dyDescent="0.2">
      <c r="M712" s="23"/>
      <c r="N712" s="949"/>
      <c r="O712" s="23"/>
      <c r="R712" s="23"/>
      <c r="S712" s="949"/>
      <c r="T712" s="23"/>
      <c r="U712" s="23"/>
      <c r="V712" s="23"/>
      <c r="W712" s="23"/>
      <c r="X712" s="23"/>
      <c r="Y712" s="23"/>
      <c r="Z712" s="23"/>
      <c r="AA712" s="23"/>
      <c r="AB712" s="23"/>
      <c r="AC712" s="23"/>
      <c r="AD712" s="23"/>
      <c r="AE712" s="23"/>
      <c r="AF712" s="23"/>
      <c r="AG712" s="23"/>
      <c r="AH712" s="23"/>
      <c r="AI712" s="23"/>
      <c r="AJ712" s="23"/>
      <c r="AK712" s="23"/>
      <c r="AL712" s="23"/>
      <c r="AM712" s="23"/>
      <c r="AN712" s="23"/>
    </row>
    <row r="713" spans="13:40" x14ac:dyDescent="0.2">
      <c r="M713" s="23"/>
      <c r="N713" s="949"/>
      <c r="O713" s="23"/>
      <c r="R713" s="23"/>
      <c r="S713" s="949"/>
      <c r="T713" s="23"/>
      <c r="U713" s="23"/>
      <c r="V713" s="23"/>
      <c r="W713" s="23"/>
      <c r="X713" s="23"/>
      <c r="Y713" s="23"/>
      <c r="Z713" s="23"/>
      <c r="AA713" s="23"/>
      <c r="AB713" s="23"/>
      <c r="AC713" s="23"/>
      <c r="AD713" s="23"/>
      <c r="AE713" s="23"/>
      <c r="AF713" s="23"/>
      <c r="AG713" s="23"/>
      <c r="AH713" s="23"/>
      <c r="AI713" s="23"/>
      <c r="AJ713" s="23"/>
      <c r="AK713" s="23"/>
      <c r="AL713" s="23"/>
      <c r="AM713" s="23"/>
      <c r="AN713" s="23"/>
    </row>
    <row r="714" spans="13:40" x14ac:dyDescent="0.2">
      <c r="M714" s="23"/>
      <c r="N714" s="949"/>
      <c r="O714" s="23"/>
      <c r="R714" s="23"/>
      <c r="S714" s="949"/>
      <c r="T714" s="23"/>
      <c r="U714" s="23"/>
      <c r="V714" s="23"/>
      <c r="W714" s="23"/>
      <c r="X714" s="23"/>
      <c r="Y714" s="23"/>
      <c r="Z714" s="23"/>
      <c r="AA714" s="23"/>
      <c r="AB714" s="23"/>
      <c r="AC714" s="23"/>
      <c r="AD714" s="23"/>
      <c r="AE714" s="23"/>
      <c r="AF714" s="23"/>
      <c r="AG714" s="23"/>
      <c r="AH714" s="23"/>
      <c r="AI714" s="23"/>
      <c r="AJ714" s="23"/>
      <c r="AK714" s="23"/>
      <c r="AL714" s="23"/>
      <c r="AM714" s="23"/>
      <c r="AN714" s="23"/>
    </row>
    <row r="715" spans="13:40" x14ac:dyDescent="0.2">
      <c r="M715" s="23"/>
      <c r="N715" s="949"/>
      <c r="O715" s="23"/>
      <c r="R715" s="23"/>
      <c r="S715" s="949"/>
      <c r="T715" s="23"/>
      <c r="U715" s="23"/>
      <c r="V715" s="23"/>
      <c r="W715" s="23"/>
      <c r="X715" s="23"/>
      <c r="Y715" s="23"/>
      <c r="Z715" s="23"/>
      <c r="AA715" s="23"/>
      <c r="AB715" s="23"/>
      <c r="AC715" s="23"/>
      <c r="AD715" s="23"/>
      <c r="AE715" s="23"/>
      <c r="AF715" s="23"/>
      <c r="AG715" s="23"/>
      <c r="AH715" s="23"/>
      <c r="AI715" s="23"/>
      <c r="AJ715" s="23"/>
      <c r="AK715" s="23"/>
      <c r="AL715" s="23"/>
      <c r="AM715" s="23"/>
      <c r="AN715" s="23"/>
    </row>
    <row r="716" spans="13:40" x14ac:dyDescent="0.2">
      <c r="M716" s="23"/>
      <c r="N716" s="949"/>
      <c r="O716" s="23"/>
      <c r="R716" s="23"/>
      <c r="S716" s="949"/>
      <c r="T716" s="23"/>
      <c r="U716" s="23"/>
      <c r="V716" s="23"/>
      <c r="W716" s="23"/>
      <c r="X716" s="23"/>
      <c r="Y716" s="23"/>
      <c r="Z716" s="23"/>
      <c r="AA716" s="23"/>
      <c r="AB716" s="23"/>
      <c r="AC716" s="23"/>
      <c r="AD716" s="23"/>
      <c r="AE716" s="23"/>
      <c r="AF716" s="23"/>
      <c r="AG716" s="23"/>
      <c r="AH716" s="23"/>
      <c r="AI716" s="23"/>
      <c r="AJ716" s="23"/>
      <c r="AK716" s="23"/>
      <c r="AL716" s="23"/>
      <c r="AM716" s="23"/>
      <c r="AN716" s="23"/>
    </row>
    <row r="717" spans="13:40" x14ac:dyDescent="0.2">
      <c r="M717" s="23"/>
      <c r="N717" s="949"/>
      <c r="O717" s="23"/>
      <c r="R717" s="23"/>
      <c r="S717" s="949"/>
      <c r="T717" s="23"/>
      <c r="U717" s="23"/>
      <c r="V717" s="23"/>
      <c r="W717" s="23"/>
      <c r="X717" s="23"/>
      <c r="Y717" s="23"/>
      <c r="Z717" s="23"/>
      <c r="AA717" s="23"/>
      <c r="AB717" s="23"/>
      <c r="AC717" s="23"/>
      <c r="AD717" s="23"/>
      <c r="AE717" s="23"/>
      <c r="AF717" s="23"/>
      <c r="AG717" s="23"/>
      <c r="AH717" s="23"/>
      <c r="AI717" s="23"/>
      <c r="AJ717" s="23"/>
      <c r="AK717" s="23"/>
      <c r="AL717" s="23"/>
      <c r="AM717" s="23"/>
      <c r="AN717" s="23"/>
    </row>
    <row r="718" spans="13:40" x14ac:dyDescent="0.2">
      <c r="M718" s="23"/>
      <c r="N718" s="949"/>
      <c r="O718" s="23"/>
      <c r="R718" s="23"/>
      <c r="S718" s="949"/>
      <c r="T718" s="23"/>
      <c r="U718" s="23"/>
      <c r="V718" s="23"/>
      <c r="W718" s="23"/>
      <c r="X718" s="23"/>
      <c r="Y718" s="23"/>
      <c r="Z718" s="23"/>
      <c r="AA718" s="23"/>
      <c r="AB718" s="23"/>
      <c r="AC718" s="23"/>
      <c r="AD718" s="23"/>
      <c r="AE718" s="23"/>
      <c r="AF718" s="23"/>
      <c r="AG718" s="23"/>
      <c r="AH718" s="23"/>
      <c r="AI718" s="23"/>
      <c r="AJ718" s="23"/>
      <c r="AK718" s="23"/>
      <c r="AL718" s="23"/>
      <c r="AM718" s="23"/>
      <c r="AN718" s="23"/>
    </row>
    <row r="719" spans="13:40" x14ac:dyDescent="0.2">
      <c r="M719" s="23"/>
      <c r="N719" s="949"/>
      <c r="O719" s="23"/>
      <c r="R719" s="23"/>
      <c r="S719" s="949"/>
      <c r="T719" s="23"/>
      <c r="U719" s="23"/>
      <c r="V719" s="23"/>
      <c r="W719" s="23"/>
      <c r="X719" s="23"/>
      <c r="Y719" s="23"/>
      <c r="Z719" s="23"/>
      <c r="AA719" s="23"/>
      <c r="AB719" s="23"/>
      <c r="AC719" s="23"/>
      <c r="AD719" s="23"/>
      <c r="AE719" s="23"/>
      <c r="AF719" s="23"/>
      <c r="AG719" s="23"/>
      <c r="AH719" s="23"/>
      <c r="AI719" s="23"/>
      <c r="AJ719" s="23"/>
      <c r="AK719" s="23"/>
      <c r="AL719" s="23"/>
      <c r="AM719" s="23"/>
      <c r="AN719" s="23"/>
    </row>
    <row r="720" spans="13:40" x14ac:dyDescent="0.2">
      <c r="M720" s="23"/>
      <c r="N720" s="949"/>
      <c r="O720" s="23"/>
      <c r="R720" s="23"/>
      <c r="S720" s="949"/>
      <c r="T720" s="23"/>
      <c r="U720" s="23"/>
      <c r="V720" s="23"/>
      <c r="W720" s="23"/>
      <c r="X720" s="23"/>
      <c r="Y720" s="23"/>
      <c r="Z720" s="23"/>
      <c r="AA720" s="23"/>
      <c r="AB720" s="23"/>
      <c r="AC720" s="23"/>
      <c r="AD720" s="23"/>
      <c r="AE720" s="23"/>
      <c r="AF720" s="23"/>
      <c r="AG720" s="23"/>
      <c r="AH720" s="23"/>
      <c r="AI720" s="23"/>
      <c r="AJ720" s="23"/>
      <c r="AK720" s="23"/>
      <c r="AL720" s="23"/>
      <c r="AM720" s="23"/>
      <c r="AN720" s="23"/>
    </row>
    <row r="721" spans="13:40" x14ac:dyDescent="0.2">
      <c r="M721" s="23"/>
      <c r="N721" s="949"/>
      <c r="O721" s="23"/>
      <c r="R721" s="23"/>
      <c r="S721" s="949"/>
      <c r="T721" s="23"/>
      <c r="U721" s="23"/>
      <c r="V721" s="23"/>
      <c r="W721" s="23"/>
      <c r="X721" s="23"/>
      <c r="Y721" s="23"/>
      <c r="Z721" s="23"/>
      <c r="AA721" s="23"/>
      <c r="AB721" s="23"/>
      <c r="AC721" s="23"/>
      <c r="AD721" s="23"/>
      <c r="AE721" s="23"/>
      <c r="AF721" s="23"/>
      <c r="AG721" s="23"/>
      <c r="AH721" s="23"/>
      <c r="AI721" s="23"/>
      <c r="AJ721" s="23"/>
      <c r="AK721" s="23"/>
      <c r="AL721" s="23"/>
      <c r="AM721" s="23"/>
      <c r="AN721" s="23"/>
    </row>
    <row r="722" spans="13:40" x14ac:dyDescent="0.2">
      <c r="M722" s="23"/>
      <c r="N722" s="949"/>
      <c r="O722" s="23"/>
      <c r="R722" s="23"/>
      <c r="S722" s="949"/>
      <c r="T722" s="23"/>
      <c r="U722" s="23"/>
      <c r="V722" s="23"/>
      <c r="W722" s="23"/>
      <c r="X722" s="23"/>
      <c r="Y722" s="23"/>
      <c r="Z722" s="23"/>
      <c r="AA722" s="23"/>
      <c r="AB722" s="23"/>
      <c r="AC722" s="23"/>
      <c r="AD722" s="23"/>
      <c r="AE722" s="23"/>
      <c r="AF722" s="23"/>
      <c r="AG722" s="23"/>
      <c r="AH722" s="23"/>
      <c r="AI722" s="23"/>
      <c r="AJ722" s="23"/>
      <c r="AK722" s="23"/>
      <c r="AL722" s="23"/>
      <c r="AM722" s="23"/>
      <c r="AN722" s="23"/>
    </row>
    <row r="723" spans="13:40" x14ac:dyDescent="0.2">
      <c r="M723" s="23"/>
      <c r="N723" s="949"/>
      <c r="O723" s="23"/>
      <c r="R723" s="23"/>
      <c r="S723" s="949"/>
      <c r="T723" s="23"/>
      <c r="U723" s="23"/>
      <c r="V723" s="23"/>
      <c r="W723" s="23"/>
      <c r="X723" s="23"/>
      <c r="Y723" s="23"/>
      <c r="Z723" s="23"/>
      <c r="AA723" s="23"/>
      <c r="AB723" s="23"/>
      <c r="AC723" s="23"/>
      <c r="AD723" s="23"/>
      <c r="AE723" s="23"/>
      <c r="AF723" s="23"/>
      <c r="AG723" s="23"/>
      <c r="AH723" s="23"/>
      <c r="AI723" s="23"/>
      <c r="AJ723" s="23"/>
      <c r="AK723" s="23"/>
      <c r="AL723" s="23"/>
      <c r="AM723" s="23"/>
      <c r="AN723" s="23"/>
    </row>
    <row r="724" spans="13:40" x14ac:dyDescent="0.2">
      <c r="M724" s="23"/>
      <c r="N724" s="949"/>
      <c r="O724" s="23"/>
      <c r="R724" s="23"/>
      <c r="S724" s="949"/>
      <c r="T724" s="23"/>
      <c r="U724" s="23"/>
      <c r="V724" s="23"/>
      <c r="W724" s="23"/>
      <c r="X724" s="23"/>
      <c r="Y724" s="23"/>
      <c r="Z724" s="23"/>
      <c r="AA724" s="23"/>
      <c r="AB724" s="23"/>
      <c r="AC724" s="23"/>
      <c r="AD724" s="23"/>
      <c r="AE724" s="23"/>
      <c r="AF724" s="23"/>
      <c r="AG724" s="23"/>
      <c r="AH724" s="23"/>
      <c r="AI724" s="23"/>
      <c r="AJ724" s="23"/>
      <c r="AK724" s="23"/>
      <c r="AL724" s="23"/>
      <c r="AM724" s="23"/>
      <c r="AN724" s="23"/>
    </row>
    <row r="725" spans="13:40" x14ac:dyDescent="0.2">
      <c r="M725" s="23"/>
      <c r="N725" s="949"/>
      <c r="O725" s="23"/>
      <c r="R725" s="23"/>
      <c r="S725" s="949"/>
      <c r="T725" s="23"/>
      <c r="U725" s="23"/>
      <c r="V725" s="23"/>
      <c r="W725" s="23"/>
      <c r="X725" s="23"/>
      <c r="Y725" s="23"/>
      <c r="Z725" s="23"/>
      <c r="AA725" s="23"/>
      <c r="AB725" s="23"/>
      <c r="AC725" s="23"/>
      <c r="AD725" s="23"/>
      <c r="AE725" s="23"/>
      <c r="AF725" s="23"/>
      <c r="AG725" s="23"/>
      <c r="AH725" s="23"/>
      <c r="AI725" s="23"/>
      <c r="AJ725" s="23"/>
      <c r="AK725" s="23"/>
      <c r="AL725" s="23"/>
      <c r="AM725" s="23"/>
      <c r="AN725" s="23"/>
    </row>
    <row r="726" spans="13:40" x14ac:dyDescent="0.2">
      <c r="M726" s="23"/>
      <c r="N726" s="949"/>
      <c r="O726" s="23"/>
      <c r="R726" s="23"/>
      <c r="S726" s="949"/>
      <c r="T726" s="23"/>
      <c r="U726" s="23"/>
      <c r="V726" s="23"/>
      <c r="W726" s="23"/>
      <c r="X726" s="23"/>
      <c r="Y726" s="23"/>
      <c r="Z726" s="23"/>
      <c r="AA726" s="23"/>
      <c r="AB726" s="23"/>
      <c r="AC726" s="23"/>
      <c r="AD726" s="23"/>
      <c r="AE726" s="23"/>
      <c r="AF726" s="23"/>
      <c r="AG726" s="23"/>
      <c r="AH726" s="23"/>
      <c r="AI726" s="23"/>
      <c r="AJ726" s="23"/>
      <c r="AK726" s="23"/>
      <c r="AL726" s="23"/>
      <c r="AM726" s="23"/>
      <c r="AN726" s="23"/>
    </row>
    <row r="727" spans="13:40" x14ac:dyDescent="0.2">
      <c r="M727" s="23"/>
      <c r="N727" s="949"/>
      <c r="O727" s="23"/>
      <c r="R727" s="23"/>
      <c r="S727" s="949"/>
      <c r="T727" s="23"/>
      <c r="U727" s="23"/>
      <c r="V727" s="23"/>
      <c r="W727" s="23"/>
      <c r="X727" s="23"/>
      <c r="Y727" s="23"/>
      <c r="Z727" s="23"/>
      <c r="AA727" s="23"/>
      <c r="AB727" s="23"/>
      <c r="AC727" s="23"/>
      <c r="AD727" s="23"/>
      <c r="AE727" s="23"/>
      <c r="AF727" s="23"/>
      <c r="AG727" s="23"/>
      <c r="AH727" s="23"/>
      <c r="AI727" s="23"/>
      <c r="AJ727" s="23"/>
      <c r="AK727" s="23"/>
      <c r="AL727" s="23"/>
      <c r="AM727" s="23"/>
      <c r="AN727" s="23"/>
    </row>
    <row r="728" spans="13:40" x14ac:dyDescent="0.2">
      <c r="M728" s="23"/>
      <c r="N728" s="949"/>
      <c r="O728" s="23"/>
      <c r="R728" s="23"/>
      <c r="S728" s="949"/>
      <c r="T728" s="23"/>
      <c r="U728" s="23"/>
      <c r="V728" s="23"/>
      <c r="W728" s="23"/>
      <c r="X728" s="23"/>
      <c r="Y728" s="23"/>
      <c r="Z728" s="23"/>
      <c r="AA728" s="23"/>
      <c r="AB728" s="23"/>
      <c r="AC728" s="23"/>
      <c r="AD728" s="23"/>
      <c r="AE728" s="23"/>
      <c r="AF728" s="23"/>
      <c r="AG728" s="23"/>
      <c r="AH728" s="23"/>
      <c r="AI728" s="23"/>
      <c r="AJ728" s="23"/>
      <c r="AK728" s="23"/>
      <c r="AL728" s="23"/>
      <c r="AM728" s="23"/>
      <c r="AN728" s="23"/>
    </row>
    <row r="729" spans="13:40" x14ac:dyDescent="0.2">
      <c r="M729" s="23"/>
      <c r="N729" s="949"/>
      <c r="O729" s="23"/>
      <c r="R729" s="23"/>
      <c r="S729" s="949"/>
      <c r="T729" s="23"/>
      <c r="U729" s="23"/>
      <c r="V729" s="23"/>
      <c r="W729" s="23"/>
      <c r="X729" s="23"/>
      <c r="Y729" s="23"/>
      <c r="Z729" s="23"/>
      <c r="AA729" s="23"/>
      <c r="AB729" s="23"/>
      <c r="AC729" s="23"/>
      <c r="AD729" s="23"/>
      <c r="AE729" s="23"/>
      <c r="AF729" s="23"/>
      <c r="AG729" s="23"/>
      <c r="AH729" s="23"/>
      <c r="AI729" s="23"/>
      <c r="AJ729" s="23"/>
      <c r="AK729" s="23"/>
      <c r="AL729" s="23"/>
      <c r="AM729" s="23"/>
      <c r="AN729" s="23"/>
    </row>
    <row r="730" spans="13:40" x14ac:dyDescent="0.2">
      <c r="M730" s="23"/>
      <c r="N730" s="949"/>
      <c r="O730" s="23"/>
      <c r="R730" s="23"/>
      <c r="S730" s="949"/>
      <c r="T730" s="23"/>
      <c r="U730" s="23"/>
      <c r="V730" s="23"/>
      <c r="W730" s="23"/>
      <c r="X730" s="23"/>
      <c r="Y730" s="23"/>
      <c r="Z730" s="23"/>
      <c r="AA730" s="23"/>
      <c r="AB730" s="23"/>
      <c r="AC730" s="23"/>
      <c r="AD730" s="23"/>
      <c r="AE730" s="23"/>
      <c r="AF730" s="23"/>
      <c r="AG730" s="23"/>
      <c r="AH730" s="23"/>
      <c r="AI730" s="23"/>
      <c r="AJ730" s="23"/>
      <c r="AK730" s="23"/>
      <c r="AL730" s="23"/>
      <c r="AM730" s="23"/>
      <c r="AN730" s="23"/>
    </row>
    <row r="731" spans="13:40" x14ac:dyDescent="0.2">
      <c r="M731" s="23"/>
      <c r="N731" s="949"/>
      <c r="O731" s="23"/>
      <c r="R731" s="23"/>
      <c r="S731" s="949"/>
      <c r="T731" s="23"/>
      <c r="U731" s="23"/>
      <c r="V731" s="23"/>
      <c r="W731" s="23"/>
      <c r="X731" s="23"/>
      <c r="Y731" s="23"/>
      <c r="Z731" s="23"/>
      <c r="AA731" s="23"/>
      <c r="AB731" s="23"/>
      <c r="AC731" s="23"/>
      <c r="AD731" s="23"/>
      <c r="AE731" s="23"/>
      <c r="AF731" s="23"/>
      <c r="AG731" s="23"/>
      <c r="AH731" s="23"/>
      <c r="AI731" s="23"/>
      <c r="AJ731" s="23"/>
      <c r="AK731" s="23"/>
      <c r="AL731" s="23"/>
      <c r="AM731" s="23"/>
      <c r="AN731" s="23"/>
    </row>
    <row r="732" spans="13:40" x14ac:dyDescent="0.2">
      <c r="M732" s="23"/>
      <c r="N732" s="949"/>
      <c r="O732" s="23"/>
      <c r="R732" s="23"/>
      <c r="S732" s="949"/>
      <c r="T732" s="23"/>
      <c r="U732" s="23"/>
      <c r="V732" s="23"/>
      <c r="W732" s="23"/>
      <c r="X732" s="23"/>
      <c r="Y732" s="23"/>
      <c r="Z732" s="23"/>
      <c r="AA732" s="23"/>
      <c r="AB732" s="23"/>
      <c r="AC732" s="23"/>
      <c r="AD732" s="23"/>
      <c r="AE732" s="23"/>
      <c r="AF732" s="23"/>
      <c r="AG732" s="23"/>
      <c r="AH732" s="23"/>
      <c r="AI732" s="23"/>
      <c r="AJ732" s="23"/>
      <c r="AK732" s="23"/>
      <c r="AL732" s="23"/>
      <c r="AM732" s="23"/>
      <c r="AN732" s="23"/>
    </row>
    <row r="733" spans="13:40" x14ac:dyDescent="0.2">
      <c r="M733" s="23"/>
      <c r="N733" s="949"/>
      <c r="O733" s="23"/>
      <c r="R733" s="23"/>
      <c r="S733" s="949"/>
      <c r="T733" s="23"/>
      <c r="U733" s="23"/>
      <c r="V733" s="23"/>
      <c r="W733" s="23"/>
      <c r="X733" s="23"/>
      <c r="Y733" s="23"/>
      <c r="Z733" s="23"/>
      <c r="AA733" s="23"/>
      <c r="AB733" s="23"/>
      <c r="AC733" s="23"/>
      <c r="AD733" s="23"/>
      <c r="AE733" s="23"/>
      <c r="AF733" s="23"/>
      <c r="AG733" s="23"/>
      <c r="AH733" s="23"/>
      <c r="AI733" s="23"/>
      <c r="AJ733" s="23"/>
      <c r="AK733" s="23"/>
      <c r="AL733" s="23"/>
      <c r="AM733" s="23"/>
      <c r="AN733" s="23"/>
    </row>
    <row r="734" spans="13:40" x14ac:dyDescent="0.2">
      <c r="M734" s="23"/>
      <c r="N734" s="949"/>
      <c r="O734" s="23"/>
      <c r="R734" s="23"/>
      <c r="S734" s="949"/>
      <c r="T734" s="23"/>
      <c r="U734" s="23"/>
      <c r="V734" s="23"/>
      <c r="W734" s="23"/>
      <c r="X734" s="23"/>
      <c r="Y734" s="23"/>
      <c r="Z734" s="23"/>
      <c r="AA734" s="23"/>
      <c r="AB734" s="23"/>
      <c r="AC734" s="23"/>
      <c r="AD734" s="23"/>
      <c r="AE734" s="23"/>
      <c r="AF734" s="23"/>
      <c r="AG734" s="23"/>
      <c r="AH734" s="23"/>
      <c r="AI734" s="23"/>
      <c r="AJ734" s="23"/>
      <c r="AK734" s="23"/>
      <c r="AL734" s="23"/>
      <c r="AM734" s="23"/>
      <c r="AN734" s="23"/>
    </row>
    <row r="735" spans="13:40" x14ac:dyDescent="0.2">
      <c r="M735" s="23"/>
      <c r="N735" s="949"/>
      <c r="O735" s="23"/>
      <c r="R735" s="23"/>
      <c r="S735" s="949"/>
      <c r="T735" s="23"/>
      <c r="U735" s="23"/>
      <c r="V735" s="23"/>
      <c r="W735" s="23"/>
      <c r="X735" s="23"/>
      <c r="Y735" s="23"/>
      <c r="Z735" s="23"/>
      <c r="AA735" s="23"/>
      <c r="AB735" s="23"/>
      <c r="AC735" s="23"/>
      <c r="AD735" s="23"/>
      <c r="AE735" s="23"/>
      <c r="AF735" s="23"/>
      <c r="AG735" s="23"/>
      <c r="AH735" s="23"/>
      <c r="AI735" s="23"/>
      <c r="AJ735" s="23"/>
      <c r="AK735" s="23"/>
      <c r="AL735" s="23"/>
      <c r="AM735" s="23"/>
      <c r="AN735" s="23"/>
    </row>
    <row r="736" spans="13:40" x14ac:dyDescent="0.2">
      <c r="M736" s="23"/>
      <c r="N736" s="949"/>
      <c r="O736" s="23"/>
      <c r="R736" s="23"/>
      <c r="S736" s="949"/>
      <c r="T736" s="23"/>
      <c r="U736" s="23"/>
      <c r="V736" s="23"/>
      <c r="W736" s="23"/>
      <c r="X736" s="23"/>
      <c r="Y736" s="23"/>
      <c r="Z736" s="23"/>
      <c r="AA736" s="23"/>
      <c r="AB736" s="23"/>
      <c r="AC736" s="23"/>
      <c r="AD736" s="23"/>
      <c r="AE736" s="23"/>
      <c r="AF736" s="23"/>
      <c r="AG736" s="23"/>
      <c r="AH736" s="23"/>
      <c r="AI736" s="23"/>
      <c r="AJ736" s="23"/>
      <c r="AK736" s="23"/>
      <c r="AL736" s="23"/>
      <c r="AM736" s="23"/>
      <c r="AN736" s="23"/>
    </row>
    <row r="737" spans="13:40" x14ac:dyDescent="0.2">
      <c r="M737" s="23"/>
      <c r="N737" s="949"/>
      <c r="O737" s="23"/>
      <c r="R737" s="23"/>
      <c r="S737" s="949"/>
      <c r="T737" s="23"/>
      <c r="U737" s="23"/>
      <c r="V737" s="23"/>
      <c r="W737" s="23"/>
      <c r="X737" s="23"/>
      <c r="Y737" s="23"/>
      <c r="Z737" s="23"/>
      <c r="AA737" s="23"/>
      <c r="AB737" s="23"/>
      <c r="AC737" s="23"/>
      <c r="AD737" s="23"/>
      <c r="AE737" s="23"/>
      <c r="AF737" s="23"/>
      <c r="AG737" s="23"/>
      <c r="AH737" s="23"/>
      <c r="AI737" s="23"/>
      <c r="AJ737" s="23"/>
      <c r="AK737" s="23"/>
      <c r="AL737" s="23"/>
      <c r="AM737" s="23"/>
      <c r="AN737" s="23"/>
    </row>
    <row r="738" spans="13:40" x14ac:dyDescent="0.2">
      <c r="M738" s="23"/>
      <c r="N738" s="949"/>
      <c r="O738" s="23"/>
      <c r="R738" s="23"/>
      <c r="S738" s="949"/>
      <c r="T738" s="23"/>
      <c r="U738" s="23"/>
      <c r="V738" s="23"/>
      <c r="W738" s="23"/>
      <c r="X738" s="23"/>
      <c r="Y738" s="23"/>
      <c r="Z738" s="23"/>
      <c r="AA738" s="23"/>
      <c r="AB738" s="23"/>
      <c r="AC738" s="23"/>
      <c r="AD738" s="23"/>
      <c r="AE738" s="23"/>
      <c r="AF738" s="23"/>
      <c r="AG738" s="23"/>
      <c r="AH738" s="23"/>
      <c r="AI738" s="23"/>
      <c r="AJ738" s="23"/>
      <c r="AK738" s="23"/>
      <c r="AL738" s="23"/>
      <c r="AM738" s="23"/>
      <c r="AN738" s="23"/>
    </row>
    <row r="739" spans="13:40" x14ac:dyDescent="0.2">
      <c r="M739" s="23"/>
      <c r="N739" s="949"/>
      <c r="O739" s="23"/>
      <c r="R739" s="23"/>
      <c r="S739" s="949"/>
      <c r="T739" s="23"/>
      <c r="U739" s="23"/>
      <c r="V739" s="23"/>
      <c r="W739" s="23"/>
      <c r="X739" s="23"/>
      <c r="Y739" s="23"/>
      <c r="Z739" s="23"/>
      <c r="AA739" s="23"/>
      <c r="AB739" s="23"/>
      <c r="AC739" s="23"/>
      <c r="AD739" s="23"/>
      <c r="AE739" s="23"/>
      <c r="AF739" s="23"/>
      <c r="AG739" s="23"/>
      <c r="AH739" s="23"/>
      <c r="AI739" s="23"/>
      <c r="AJ739" s="23"/>
      <c r="AK739" s="23"/>
      <c r="AL739" s="23"/>
      <c r="AM739" s="23"/>
      <c r="AN739" s="23"/>
    </row>
    <row r="740" spans="13:40" x14ac:dyDescent="0.2">
      <c r="M740" s="23"/>
      <c r="N740" s="949"/>
      <c r="O740" s="23"/>
      <c r="R740" s="23"/>
      <c r="S740" s="949"/>
      <c r="T740" s="23"/>
      <c r="U740" s="23"/>
      <c r="V740" s="23"/>
      <c r="W740" s="23"/>
      <c r="X740" s="23"/>
      <c r="Y740" s="23"/>
      <c r="Z740" s="23"/>
      <c r="AA740" s="23"/>
      <c r="AB740" s="23"/>
      <c r="AC740" s="23"/>
      <c r="AD740" s="23"/>
      <c r="AE740" s="23"/>
      <c r="AF740" s="23"/>
      <c r="AG740" s="23"/>
      <c r="AH740" s="23"/>
      <c r="AI740" s="23"/>
      <c r="AJ740" s="23"/>
      <c r="AK740" s="23"/>
      <c r="AL740" s="23"/>
      <c r="AM740" s="23"/>
      <c r="AN740" s="23"/>
    </row>
    <row r="741" spans="13:40" x14ac:dyDescent="0.2">
      <c r="M741" s="23"/>
      <c r="N741" s="949"/>
      <c r="O741" s="23"/>
      <c r="R741" s="23"/>
      <c r="S741" s="949"/>
      <c r="T741" s="23"/>
      <c r="U741" s="23"/>
      <c r="V741" s="23"/>
      <c r="W741" s="23"/>
      <c r="X741" s="23"/>
      <c r="Y741" s="23"/>
      <c r="Z741" s="23"/>
      <c r="AA741" s="23"/>
      <c r="AB741" s="23"/>
      <c r="AC741" s="23"/>
      <c r="AD741" s="23"/>
      <c r="AE741" s="23"/>
      <c r="AF741" s="23"/>
      <c r="AG741" s="23"/>
      <c r="AH741" s="23"/>
      <c r="AI741" s="23"/>
      <c r="AJ741" s="23"/>
      <c r="AK741" s="23"/>
      <c r="AL741" s="23"/>
      <c r="AM741" s="23"/>
      <c r="AN741" s="23"/>
    </row>
    <row r="742" spans="13:40" x14ac:dyDescent="0.2">
      <c r="M742" s="23"/>
      <c r="N742" s="949"/>
      <c r="O742" s="23"/>
      <c r="R742" s="23"/>
      <c r="S742" s="949"/>
      <c r="T742" s="23"/>
      <c r="U742" s="23"/>
      <c r="V742" s="23"/>
      <c r="W742" s="23"/>
      <c r="X742" s="23"/>
      <c r="Y742" s="23"/>
      <c r="Z742" s="23"/>
      <c r="AA742" s="23"/>
      <c r="AB742" s="23"/>
      <c r="AC742" s="23"/>
      <c r="AD742" s="23"/>
      <c r="AE742" s="23"/>
      <c r="AF742" s="23"/>
      <c r="AG742" s="23"/>
      <c r="AH742" s="23"/>
      <c r="AI742" s="23"/>
      <c r="AJ742" s="23"/>
      <c r="AK742" s="23"/>
      <c r="AL742" s="23"/>
      <c r="AM742" s="23"/>
      <c r="AN742" s="23"/>
    </row>
    <row r="743" spans="13:40" x14ac:dyDescent="0.2">
      <c r="M743" s="23"/>
      <c r="N743" s="949"/>
      <c r="O743" s="23"/>
      <c r="R743" s="23"/>
      <c r="S743" s="949"/>
      <c r="T743" s="23"/>
      <c r="U743" s="23"/>
      <c r="V743" s="23"/>
      <c r="W743" s="23"/>
      <c r="X743" s="23"/>
      <c r="Y743" s="23"/>
      <c r="Z743" s="23"/>
      <c r="AA743" s="23"/>
      <c r="AB743" s="23"/>
      <c r="AC743" s="23"/>
      <c r="AD743" s="23"/>
      <c r="AE743" s="23"/>
      <c r="AF743" s="23"/>
      <c r="AG743" s="23"/>
      <c r="AH743" s="23"/>
      <c r="AI743" s="23"/>
      <c r="AJ743" s="23"/>
      <c r="AK743" s="23"/>
      <c r="AL743" s="23"/>
      <c r="AM743" s="23"/>
      <c r="AN743" s="23"/>
    </row>
    <row r="744" spans="13:40" x14ac:dyDescent="0.2">
      <c r="M744" s="23"/>
      <c r="N744" s="949"/>
      <c r="O744" s="23"/>
      <c r="R744" s="23"/>
      <c r="S744" s="949"/>
      <c r="T744" s="23"/>
      <c r="U744" s="23"/>
      <c r="V744" s="23"/>
      <c r="W744" s="23"/>
      <c r="X744" s="23"/>
      <c r="Y744" s="23"/>
      <c r="Z744" s="23"/>
      <c r="AA744" s="23"/>
      <c r="AB744" s="23"/>
      <c r="AC744" s="23"/>
      <c r="AD744" s="23"/>
      <c r="AE744" s="23"/>
      <c r="AF744" s="23"/>
      <c r="AG744" s="23"/>
      <c r="AH744" s="23"/>
      <c r="AI744" s="23"/>
      <c r="AJ744" s="23"/>
      <c r="AK744" s="23"/>
      <c r="AL744" s="23"/>
      <c r="AM744" s="23"/>
      <c r="AN744" s="23"/>
    </row>
    <row r="745" spans="13:40" x14ac:dyDescent="0.2">
      <c r="M745" s="23"/>
      <c r="N745" s="949"/>
      <c r="O745" s="23"/>
      <c r="R745" s="23"/>
      <c r="S745" s="949"/>
      <c r="T745" s="23"/>
      <c r="U745" s="23"/>
      <c r="V745" s="23"/>
      <c r="W745" s="23"/>
      <c r="X745" s="23"/>
      <c r="Y745" s="23"/>
      <c r="Z745" s="23"/>
      <c r="AA745" s="23"/>
      <c r="AB745" s="23"/>
      <c r="AC745" s="23"/>
      <c r="AD745" s="23"/>
      <c r="AE745" s="23"/>
      <c r="AF745" s="23"/>
      <c r="AG745" s="23"/>
      <c r="AH745" s="23"/>
      <c r="AI745" s="23"/>
      <c r="AJ745" s="23"/>
      <c r="AK745" s="23"/>
      <c r="AL745" s="23"/>
      <c r="AM745" s="23"/>
      <c r="AN745" s="23"/>
    </row>
    <row r="746" spans="13:40" x14ac:dyDescent="0.2">
      <c r="M746" s="23"/>
      <c r="N746" s="949"/>
      <c r="O746" s="23"/>
      <c r="R746" s="23"/>
      <c r="S746" s="949"/>
      <c r="T746" s="23"/>
      <c r="U746" s="23"/>
      <c r="V746" s="23"/>
      <c r="W746" s="23"/>
      <c r="X746" s="23"/>
      <c r="Y746" s="23"/>
      <c r="Z746" s="23"/>
      <c r="AA746" s="23"/>
      <c r="AB746" s="23"/>
      <c r="AC746" s="23"/>
      <c r="AD746" s="23"/>
      <c r="AE746" s="23"/>
      <c r="AF746" s="23"/>
      <c r="AG746" s="23"/>
      <c r="AH746" s="23"/>
      <c r="AI746" s="23"/>
      <c r="AJ746" s="23"/>
      <c r="AK746" s="23"/>
      <c r="AL746" s="23"/>
      <c r="AM746" s="23"/>
      <c r="AN746" s="23"/>
    </row>
    <row r="747" spans="13:40" x14ac:dyDescent="0.2">
      <c r="M747" s="23"/>
      <c r="N747" s="949"/>
      <c r="O747" s="23"/>
      <c r="R747" s="23"/>
      <c r="S747" s="949"/>
      <c r="T747" s="23"/>
      <c r="U747" s="23"/>
      <c r="V747" s="23"/>
      <c r="W747" s="23"/>
      <c r="X747" s="23"/>
      <c r="Y747" s="23"/>
      <c r="Z747" s="23"/>
      <c r="AA747" s="23"/>
      <c r="AB747" s="23"/>
      <c r="AC747" s="23"/>
      <c r="AD747" s="23"/>
      <c r="AE747" s="23"/>
      <c r="AF747" s="23"/>
      <c r="AG747" s="23"/>
      <c r="AH747" s="23"/>
      <c r="AI747" s="23"/>
      <c r="AJ747" s="23"/>
      <c r="AK747" s="23"/>
      <c r="AL747" s="23"/>
      <c r="AM747" s="23"/>
      <c r="AN747" s="23"/>
    </row>
    <row r="748" spans="13:40" x14ac:dyDescent="0.2">
      <c r="M748" s="23"/>
      <c r="N748" s="949"/>
      <c r="O748" s="23"/>
      <c r="R748" s="23"/>
      <c r="S748" s="949"/>
      <c r="T748" s="23"/>
      <c r="U748" s="23"/>
      <c r="V748" s="23"/>
      <c r="W748" s="23"/>
      <c r="X748" s="23"/>
      <c r="Y748" s="23"/>
      <c r="Z748" s="23"/>
      <c r="AA748" s="23"/>
      <c r="AB748" s="23"/>
      <c r="AC748" s="23"/>
      <c r="AD748" s="23"/>
      <c r="AE748" s="23"/>
      <c r="AF748" s="23"/>
      <c r="AG748" s="23"/>
      <c r="AH748" s="23"/>
      <c r="AI748" s="23"/>
      <c r="AJ748" s="23"/>
      <c r="AK748" s="23"/>
      <c r="AL748" s="23"/>
      <c r="AM748" s="23"/>
      <c r="AN748" s="23"/>
    </row>
    <row r="749" spans="13:40" x14ac:dyDescent="0.2">
      <c r="M749" s="23"/>
      <c r="N749" s="949"/>
      <c r="O749" s="23"/>
      <c r="R749" s="23"/>
      <c r="S749" s="949"/>
      <c r="T749" s="23"/>
      <c r="U749" s="23"/>
      <c r="V749" s="23"/>
      <c r="W749" s="23"/>
      <c r="X749" s="23"/>
      <c r="Y749" s="23"/>
      <c r="Z749" s="23"/>
      <c r="AA749" s="23"/>
      <c r="AB749" s="23"/>
      <c r="AC749" s="23"/>
      <c r="AD749" s="23"/>
      <c r="AE749" s="23"/>
      <c r="AF749" s="23"/>
      <c r="AG749" s="23"/>
      <c r="AH749" s="23"/>
      <c r="AI749" s="23"/>
      <c r="AJ749" s="23"/>
      <c r="AK749" s="23"/>
      <c r="AL749" s="23"/>
      <c r="AM749" s="23"/>
      <c r="AN749" s="23"/>
    </row>
    <row r="750" spans="13:40" x14ac:dyDescent="0.2">
      <c r="M750" s="23"/>
      <c r="N750" s="949"/>
      <c r="O750" s="23"/>
      <c r="R750" s="23"/>
      <c r="S750" s="949"/>
      <c r="T750" s="23"/>
      <c r="U750" s="23"/>
      <c r="V750" s="23"/>
      <c r="W750" s="23"/>
      <c r="X750" s="23"/>
      <c r="Y750" s="23"/>
      <c r="Z750" s="23"/>
      <c r="AA750" s="23"/>
      <c r="AB750" s="23"/>
      <c r="AC750" s="23"/>
      <c r="AD750" s="23"/>
      <c r="AE750" s="23"/>
      <c r="AF750" s="23"/>
      <c r="AG750" s="23"/>
      <c r="AH750" s="23"/>
      <c r="AI750" s="23"/>
      <c r="AJ750" s="23"/>
      <c r="AK750" s="23"/>
      <c r="AL750" s="23"/>
      <c r="AM750" s="23"/>
      <c r="AN750" s="23"/>
    </row>
    <row r="751" spans="13:40" x14ac:dyDescent="0.2">
      <c r="M751" s="23"/>
      <c r="N751" s="949"/>
      <c r="O751" s="23"/>
      <c r="R751" s="23"/>
      <c r="S751" s="949"/>
      <c r="T751" s="23"/>
      <c r="U751" s="23"/>
      <c r="V751" s="23"/>
      <c r="W751" s="23"/>
      <c r="X751" s="23"/>
      <c r="Y751" s="23"/>
      <c r="Z751" s="23"/>
      <c r="AA751" s="23"/>
      <c r="AB751" s="23"/>
      <c r="AC751" s="23"/>
      <c r="AD751" s="23"/>
      <c r="AE751" s="23"/>
      <c r="AF751" s="23"/>
      <c r="AG751" s="23"/>
      <c r="AH751" s="23"/>
      <c r="AI751" s="23"/>
      <c r="AJ751" s="23"/>
      <c r="AK751" s="23"/>
      <c r="AL751" s="23"/>
      <c r="AM751" s="23"/>
      <c r="AN751" s="23"/>
    </row>
    <row r="752" spans="13:40" x14ac:dyDescent="0.2">
      <c r="M752" s="23"/>
      <c r="N752" s="949"/>
      <c r="O752" s="23"/>
      <c r="R752" s="23"/>
      <c r="S752" s="949"/>
      <c r="T752" s="23"/>
      <c r="U752" s="23"/>
      <c r="V752" s="23"/>
      <c r="W752" s="23"/>
      <c r="X752" s="23"/>
      <c r="Y752" s="23"/>
      <c r="Z752" s="23"/>
      <c r="AA752" s="23"/>
      <c r="AB752" s="23"/>
      <c r="AC752" s="23"/>
      <c r="AD752" s="23"/>
      <c r="AE752" s="23"/>
      <c r="AF752" s="23"/>
      <c r="AG752" s="23"/>
      <c r="AH752" s="23"/>
      <c r="AI752" s="23"/>
      <c r="AJ752" s="23"/>
      <c r="AK752" s="23"/>
      <c r="AL752" s="23"/>
      <c r="AM752" s="23"/>
      <c r="AN752" s="23"/>
    </row>
    <row r="753" spans="13:40" x14ac:dyDescent="0.2">
      <c r="M753" s="23"/>
      <c r="N753" s="949"/>
      <c r="O753" s="23"/>
      <c r="R753" s="23"/>
      <c r="S753" s="949"/>
      <c r="T753" s="23"/>
      <c r="U753" s="23"/>
      <c r="V753" s="23"/>
      <c r="W753" s="23"/>
      <c r="X753" s="23"/>
      <c r="Y753" s="23"/>
      <c r="Z753" s="23"/>
      <c r="AA753" s="23"/>
      <c r="AB753" s="23"/>
      <c r="AC753" s="23"/>
      <c r="AD753" s="23"/>
      <c r="AE753" s="23"/>
      <c r="AF753" s="23"/>
      <c r="AG753" s="23"/>
      <c r="AH753" s="23"/>
      <c r="AI753" s="23"/>
      <c r="AJ753" s="23"/>
      <c r="AK753" s="23"/>
      <c r="AL753" s="23"/>
      <c r="AM753" s="23"/>
      <c r="AN753" s="23"/>
    </row>
    <row r="754" spans="13:40" x14ac:dyDescent="0.2">
      <c r="M754" s="23"/>
      <c r="N754" s="949"/>
      <c r="O754" s="23"/>
      <c r="R754" s="23"/>
      <c r="S754" s="949"/>
      <c r="T754" s="23"/>
      <c r="U754" s="23"/>
      <c r="V754" s="23"/>
      <c r="W754" s="23"/>
      <c r="X754" s="23"/>
      <c r="Y754" s="23"/>
      <c r="Z754" s="23"/>
      <c r="AA754" s="23"/>
      <c r="AB754" s="23"/>
      <c r="AC754" s="23"/>
      <c r="AD754" s="23"/>
      <c r="AE754" s="23"/>
      <c r="AF754" s="23"/>
      <c r="AG754" s="23"/>
      <c r="AH754" s="23"/>
      <c r="AI754" s="23"/>
      <c r="AJ754" s="23"/>
      <c r="AK754" s="23"/>
      <c r="AL754" s="23"/>
      <c r="AM754" s="23"/>
      <c r="AN754" s="23"/>
    </row>
    <row r="755" spans="13:40" x14ac:dyDescent="0.2">
      <c r="M755" s="23"/>
      <c r="N755" s="949"/>
      <c r="O755" s="23"/>
      <c r="R755" s="23"/>
      <c r="S755" s="949"/>
      <c r="T755" s="23"/>
      <c r="U755" s="23"/>
      <c r="V755" s="23"/>
      <c r="W755" s="23"/>
      <c r="X755" s="23"/>
      <c r="Y755" s="23"/>
      <c r="Z755" s="23"/>
      <c r="AA755" s="23"/>
      <c r="AB755" s="23"/>
      <c r="AC755" s="23"/>
      <c r="AD755" s="23"/>
      <c r="AE755" s="23"/>
      <c r="AF755" s="23"/>
      <c r="AG755" s="23"/>
      <c r="AH755" s="23"/>
      <c r="AI755" s="23"/>
      <c r="AJ755" s="23"/>
      <c r="AK755" s="23"/>
      <c r="AL755" s="23"/>
      <c r="AM755" s="23"/>
      <c r="AN755" s="23"/>
    </row>
    <row r="756" spans="13:40" x14ac:dyDescent="0.2">
      <c r="M756" s="23"/>
      <c r="N756" s="949"/>
      <c r="O756" s="23"/>
      <c r="R756" s="23"/>
      <c r="S756" s="949"/>
      <c r="T756" s="23"/>
      <c r="U756" s="23"/>
      <c r="V756" s="23"/>
      <c r="W756" s="23"/>
      <c r="X756" s="23"/>
      <c r="Y756" s="23"/>
      <c r="Z756" s="23"/>
      <c r="AA756" s="23"/>
      <c r="AB756" s="23"/>
      <c r="AC756" s="23"/>
      <c r="AD756" s="23"/>
      <c r="AE756" s="23"/>
      <c r="AF756" s="23"/>
      <c r="AG756" s="23"/>
      <c r="AH756" s="23"/>
      <c r="AI756" s="23"/>
      <c r="AJ756" s="23"/>
      <c r="AK756" s="23"/>
      <c r="AL756" s="23"/>
      <c r="AM756" s="23"/>
      <c r="AN756" s="23"/>
    </row>
    <row r="757" spans="13:40" x14ac:dyDescent="0.2">
      <c r="M757" s="23"/>
      <c r="N757" s="949"/>
      <c r="O757" s="23"/>
      <c r="R757" s="23"/>
      <c r="S757" s="949"/>
      <c r="T757" s="23"/>
      <c r="U757" s="23"/>
      <c r="V757" s="23"/>
      <c r="W757" s="23"/>
      <c r="X757" s="23"/>
      <c r="Y757" s="23"/>
      <c r="Z757" s="23"/>
      <c r="AA757" s="23"/>
      <c r="AB757" s="23"/>
      <c r="AC757" s="23"/>
      <c r="AD757" s="23"/>
      <c r="AE757" s="23"/>
      <c r="AF757" s="23"/>
      <c r="AG757" s="23"/>
      <c r="AH757" s="23"/>
      <c r="AI757" s="23"/>
      <c r="AJ757" s="23"/>
      <c r="AK757" s="23"/>
      <c r="AL757" s="23"/>
      <c r="AM757" s="23"/>
      <c r="AN757" s="23"/>
    </row>
    <row r="758" spans="13:40" x14ac:dyDescent="0.2">
      <c r="M758" s="23"/>
      <c r="N758" s="949"/>
      <c r="O758" s="23"/>
      <c r="R758" s="23"/>
      <c r="S758" s="949"/>
      <c r="T758" s="23"/>
      <c r="U758" s="23"/>
      <c r="V758" s="23"/>
      <c r="W758" s="23"/>
      <c r="X758" s="23"/>
      <c r="Y758" s="23"/>
      <c r="Z758" s="23"/>
      <c r="AA758" s="23"/>
      <c r="AB758" s="23"/>
      <c r="AC758" s="23"/>
      <c r="AD758" s="23"/>
      <c r="AE758" s="23"/>
      <c r="AF758" s="23"/>
      <c r="AG758" s="23"/>
      <c r="AH758" s="23"/>
      <c r="AI758" s="23"/>
      <c r="AJ758" s="23"/>
      <c r="AK758" s="23"/>
      <c r="AL758" s="23"/>
      <c r="AM758" s="23"/>
      <c r="AN758" s="23"/>
    </row>
    <row r="759" spans="13:40" x14ac:dyDescent="0.2">
      <c r="M759" s="23"/>
      <c r="N759" s="949"/>
      <c r="O759" s="23"/>
      <c r="R759" s="23"/>
      <c r="S759" s="949"/>
      <c r="T759" s="23"/>
      <c r="U759" s="23"/>
      <c r="V759" s="23"/>
      <c r="W759" s="23"/>
      <c r="X759" s="23"/>
      <c r="Y759" s="23"/>
      <c r="Z759" s="23"/>
      <c r="AA759" s="23"/>
      <c r="AB759" s="23"/>
      <c r="AC759" s="23"/>
      <c r="AD759" s="23"/>
      <c r="AE759" s="23"/>
      <c r="AF759" s="23"/>
      <c r="AG759" s="23"/>
      <c r="AH759" s="23"/>
      <c r="AI759" s="23"/>
      <c r="AJ759" s="23"/>
      <c r="AK759" s="23"/>
      <c r="AL759" s="23"/>
      <c r="AM759" s="23"/>
      <c r="AN759" s="23"/>
    </row>
    <row r="760" spans="13:40" x14ac:dyDescent="0.2">
      <c r="M760" s="23"/>
      <c r="N760" s="949"/>
      <c r="O760" s="23"/>
      <c r="R760" s="23"/>
      <c r="S760" s="949"/>
      <c r="T760" s="23"/>
      <c r="U760" s="23"/>
      <c r="V760" s="23"/>
      <c r="W760" s="23"/>
      <c r="X760" s="23"/>
      <c r="Y760" s="23"/>
      <c r="Z760" s="23"/>
      <c r="AA760" s="23"/>
      <c r="AB760" s="23"/>
      <c r="AC760" s="23"/>
      <c r="AD760" s="23"/>
      <c r="AE760" s="23"/>
      <c r="AF760" s="23"/>
      <c r="AG760" s="23"/>
      <c r="AH760" s="23"/>
      <c r="AI760" s="23"/>
      <c r="AJ760" s="23"/>
      <c r="AK760" s="23"/>
      <c r="AL760" s="23"/>
      <c r="AM760" s="23"/>
      <c r="AN760" s="23"/>
    </row>
    <row r="761" spans="13:40" x14ac:dyDescent="0.2">
      <c r="M761" s="23"/>
      <c r="N761" s="949"/>
      <c r="O761" s="23"/>
      <c r="R761" s="23"/>
      <c r="S761" s="949"/>
      <c r="T761" s="23"/>
      <c r="U761" s="23"/>
      <c r="V761" s="23"/>
      <c r="W761" s="23"/>
      <c r="X761" s="23"/>
      <c r="Y761" s="23"/>
      <c r="Z761" s="23"/>
      <c r="AA761" s="23"/>
      <c r="AB761" s="23"/>
      <c r="AC761" s="23"/>
      <c r="AD761" s="23"/>
      <c r="AE761" s="23"/>
      <c r="AF761" s="23"/>
      <c r="AG761" s="23"/>
      <c r="AH761" s="23"/>
      <c r="AI761" s="23"/>
      <c r="AJ761" s="23"/>
      <c r="AK761" s="23"/>
      <c r="AL761" s="23"/>
      <c r="AM761" s="23"/>
      <c r="AN761" s="23"/>
    </row>
    <row r="762" spans="13:40" x14ac:dyDescent="0.2">
      <c r="M762" s="23"/>
      <c r="N762" s="949"/>
      <c r="O762" s="23"/>
      <c r="R762" s="23"/>
      <c r="S762" s="949"/>
      <c r="T762" s="23"/>
      <c r="U762" s="23"/>
      <c r="V762" s="23"/>
      <c r="W762" s="23"/>
      <c r="X762" s="23"/>
      <c r="Y762" s="23"/>
      <c r="Z762" s="23"/>
      <c r="AA762" s="23"/>
      <c r="AB762" s="23"/>
      <c r="AC762" s="23"/>
      <c r="AD762" s="23"/>
      <c r="AE762" s="23"/>
      <c r="AF762" s="23"/>
      <c r="AG762" s="23"/>
      <c r="AH762" s="23"/>
      <c r="AI762" s="23"/>
      <c r="AJ762" s="23"/>
      <c r="AK762" s="23"/>
      <c r="AL762" s="23"/>
      <c r="AM762" s="23"/>
      <c r="AN762" s="23"/>
    </row>
    <row r="763" spans="13:40" x14ac:dyDescent="0.2">
      <c r="M763" s="23"/>
      <c r="N763" s="949"/>
      <c r="O763" s="23"/>
      <c r="R763" s="23"/>
      <c r="S763" s="949"/>
      <c r="T763" s="23"/>
      <c r="U763" s="23"/>
      <c r="V763" s="23"/>
      <c r="W763" s="23"/>
      <c r="X763" s="23"/>
      <c r="Y763" s="23"/>
      <c r="Z763" s="23"/>
      <c r="AA763" s="23"/>
      <c r="AB763" s="23"/>
      <c r="AC763" s="23"/>
      <c r="AD763" s="23"/>
      <c r="AE763" s="23"/>
      <c r="AF763" s="23"/>
      <c r="AG763" s="23"/>
      <c r="AH763" s="23"/>
      <c r="AI763" s="23"/>
      <c r="AJ763" s="23"/>
      <c r="AK763" s="23"/>
      <c r="AL763" s="23"/>
      <c r="AM763" s="23"/>
      <c r="AN763" s="23"/>
    </row>
    <row r="764" spans="13:40" x14ac:dyDescent="0.2">
      <c r="M764" s="23"/>
      <c r="N764" s="949"/>
      <c r="O764" s="23"/>
      <c r="R764" s="23"/>
      <c r="S764" s="949"/>
      <c r="T764" s="23"/>
      <c r="U764" s="23"/>
      <c r="V764" s="23"/>
      <c r="W764" s="23"/>
      <c r="X764" s="23"/>
      <c r="Y764" s="23"/>
      <c r="Z764" s="23"/>
      <c r="AA764" s="23"/>
      <c r="AB764" s="23"/>
      <c r="AC764" s="23"/>
      <c r="AD764" s="23"/>
      <c r="AE764" s="23"/>
      <c r="AF764" s="23"/>
      <c r="AG764" s="23"/>
      <c r="AH764" s="23"/>
      <c r="AI764" s="23"/>
      <c r="AJ764" s="23"/>
      <c r="AK764" s="23"/>
      <c r="AL764" s="23"/>
      <c r="AM764" s="23"/>
      <c r="AN764" s="23"/>
    </row>
    <row r="765" spans="13:40" x14ac:dyDescent="0.2">
      <c r="M765" s="23"/>
      <c r="N765" s="949"/>
      <c r="O765" s="23"/>
      <c r="R765" s="23"/>
      <c r="S765" s="949"/>
      <c r="T765" s="23"/>
      <c r="U765" s="23"/>
      <c r="V765" s="23"/>
      <c r="W765" s="23"/>
      <c r="X765" s="23"/>
      <c r="Y765" s="23"/>
      <c r="Z765" s="23"/>
      <c r="AA765" s="23"/>
      <c r="AB765" s="23"/>
      <c r="AC765" s="23"/>
      <c r="AD765" s="23"/>
      <c r="AE765" s="23"/>
      <c r="AF765" s="23"/>
      <c r="AG765" s="23"/>
      <c r="AH765" s="23"/>
      <c r="AI765" s="23"/>
      <c r="AJ765" s="23"/>
      <c r="AK765" s="23"/>
      <c r="AL765" s="23"/>
      <c r="AM765" s="23"/>
      <c r="AN765" s="23"/>
    </row>
    <row r="766" spans="13:40" x14ac:dyDescent="0.2">
      <c r="M766" s="23"/>
      <c r="N766" s="949"/>
      <c r="O766" s="23"/>
      <c r="R766" s="23"/>
      <c r="S766" s="949"/>
      <c r="T766" s="23"/>
      <c r="U766" s="23"/>
      <c r="V766" s="23"/>
      <c r="W766" s="23"/>
      <c r="X766" s="23"/>
      <c r="Y766" s="23"/>
      <c r="Z766" s="23"/>
      <c r="AA766" s="23"/>
      <c r="AB766" s="23"/>
      <c r="AC766" s="23"/>
      <c r="AD766" s="23"/>
      <c r="AE766" s="23"/>
      <c r="AF766" s="23"/>
      <c r="AG766" s="23"/>
      <c r="AH766" s="23"/>
      <c r="AI766" s="23"/>
      <c r="AJ766" s="23"/>
      <c r="AK766" s="23"/>
      <c r="AL766" s="23"/>
      <c r="AM766" s="23"/>
      <c r="AN766" s="23"/>
    </row>
    <row r="767" spans="13:40" x14ac:dyDescent="0.2">
      <c r="M767" s="23"/>
      <c r="N767" s="949"/>
      <c r="O767" s="23"/>
      <c r="R767" s="23"/>
      <c r="S767" s="949"/>
      <c r="T767" s="23"/>
      <c r="U767" s="23"/>
      <c r="V767" s="23"/>
      <c r="W767" s="23"/>
      <c r="X767" s="23"/>
      <c r="Y767" s="23"/>
      <c r="Z767" s="23"/>
      <c r="AA767" s="23"/>
      <c r="AB767" s="23"/>
      <c r="AC767" s="23"/>
      <c r="AD767" s="23"/>
      <c r="AE767" s="23"/>
      <c r="AF767" s="23"/>
      <c r="AG767" s="23"/>
      <c r="AH767" s="23"/>
      <c r="AI767" s="23"/>
      <c r="AJ767" s="23"/>
      <c r="AK767" s="23"/>
      <c r="AL767" s="23"/>
      <c r="AM767" s="23"/>
      <c r="AN767" s="23"/>
    </row>
    <row r="768" spans="13:40" x14ac:dyDescent="0.2">
      <c r="M768" s="23"/>
      <c r="N768" s="949"/>
      <c r="O768" s="23"/>
      <c r="R768" s="23"/>
      <c r="S768" s="949"/>
      <c r="T768" s="23"/>
      <c r="U768" s="23"/>
      <c r="V768" s="23"/>
      <c r="W768" s="23"/>
      <c r="X768" s="23"/>
      <c r="Y768" s="23"/>
      <c r="Z768" s="23"/>
      <c r="AA768" s="23"/>
      <c r="AB768" s="23"/>
      <c r="AC768" s="23"/>
      <c r="AD768" s="23"/>
      <c r="AE768" s="23"/>
      <c r="AF768" s="23"/>
      <c r="AG768" s="23"/>
      <c r="AH768" s="23"/>
      <c r="AI768" s="23"/>
      <c r="AJ768" s="23"/>
      <c r="AK768" s="23"/>
      <c r="AL768" s="23"/>
      <c r="AM768" s="23"/>
      <c r="AN768" s="23"/>
    </row>
    <row r="769" spans="13:40" x14ac:dyDescent="0.2">
      <c r="M769" s="23"/>
      <c r="N769" s="949"/>
      <c r="O769" s="23"/>
      <c r="R769" s="23"/>
      <c r="S769" s="949"/>
      <c r="T769" s="23"/>
      <c r="U769" s="23"/>
      <c r="V769" s="23"/>
      <c r="W769" s="23"/>
      <c r="X769" s="23"/>
      <c r="Y769" s="23"/>
      <c r="Z769" s="23"/>
      <c r="AA769" s="23"/>
      <c r="AB769" s="23"/>
      <c r="AC769" s="23"/>
      <c r="AD769" s="23"/>
      <c r="AE769" s="23"/>
      <c r="AF769" s="23"/>
      <c r="AG769" s="23"/>
      <c r="AH769" s="23"/>
      <c r="AI769" s="23"/>
      <c r="AJ769" s="23"/>
      <c r="AK769" s="23"/>
      <c r="AL769" s="23"/>
      <c r="AM769" s="23"/>
      <c r="AN769" s="23"/>
    </row>
    <row r="770" spans="13:40" x14ac:dyDescent="0.2">
      <c r="M770" s="23"/>
      <c r="N770" s="949"/>
      <c r="O770" s="23"/>
      <c r="R770" s="23"/>
      <c r="S770" s="949"/>
      <c r="T770" s="23"/>
      <c r="U770" s="23"/>
      <c r="V770" s="23"/>
      <c r="W770" s="23"/>
      <c r="X770" s="23"/>
      <c r="Y770" s="23"/>
      <c r="Z770" s="23"/>
      <c r="AA770" s="23"/>
      <c r="AB770" s="23"/>
      <c r="AC770" s="23"/>
      <c r="AD770" s="23"/>
      <c r="AE770" s="23"/>
      <c r="AF770" s="23"/>
      <c r="AG770" s="23"/>
      <c r="AH770" s="23"/>
      <c r="AI770" s="23"/>
      <c r="AJ770" s="23"/>
      <c r="AK770" s="23"/>
      <c r="AL770" s="23"/>
      <c r="AM770" s="23"/>
      <c r="AN770" s="23"/>
    </row>
    <row r="771" spans="13:40" x14ac:dyDescent="0.2">
      <c r="M771" s="23"/>
      <c r="N771" s="949"/>
      <c r="O771" s="23"/>
      <c r="R771" s="23"/>
      <c r="S771" s="949"/>
      <c r="T771" s="23"/>
      <c r="U771" s="23"/>
      <c r="V771" s="23"/>
      <c r="W771" s="23"/>
      <c r="X771" s="23"/>
      <c r="Y771" s="23"/>
      <c r="Z771" s="23"/>
      <c r="AA771" s="23"/>
      <c r="AB771" s="23"/>
      <c r="AC771" s="23"/>
      <c r="AD771" s="23"/>
      <c r="AE771" s="23"/>
      <c r="AF771" s="23"/>
      <c r="AG771" s="23"/>
      <c r="AH771" s="23"/>
      <c r="AI771" s="23"/>
      <c r="AJ771" s="23"/>
      <c r="AK771" s="23"/>
      <c r="AL771" s="23"/>
      <c r="AM771" s="23"/>
      <c r="AN771" s="23"/>
    </row>
    <row r="772" spans="13:40" x14ac:dyDescent="0.2">
      <c r="M772" s="23"/>
      <c r="N772" s="949"/>
      <c r="O772" s="23"/>
      <c r="R772" s="23"/>
      <c r="S772" s="949"/>
      <c r="T772" s="23"/>
      <c r="U772" s="23"/>
      <c r="V772" s="23"/>
      <c r="W772" s="23"/>
      <c r="X772" s="23"/>
      <c r="Y772" s="23"/>
      <c r="Z772" s="23"/>
      <c r="AA772" s="23"/>
      <c r="AB772" s="23"/>
      <c r="AC772" s="23"/>
      <c r="AD772" s="23"/>
      <c r="AE772" s="23"/>
      <c r="AF772" s="23"/>
      <c r="AG772" s="23"/>
      <c r="AH772" s="23"/>
      <c r="AI772" s="23"/>
      <c r="AJ772" s="23"/>
      <c r="AK772" s="23"/>
      <c r="AL772" s="23"/>
      <c r="AM772" s="23"/>
      <c r="AN772" s="23"/>
    </row>
    <row r="773" spans="13:40" x14ac:dyDescent="0.2">
      <c r="M773" s="23"/>
      <c r="N773" s="949"/>
      <c r="O773" s="23"/>
      <c r="R773" s="23"/>
      <c r="S773" s="949"/>
      <c r="T773" s="23"/>
      <c r="U773" s="23"/>
      <c r="V773" s="23"/>
      <c r="W773" s="23"/>
      <c r="X773" s="23"/>
      <c r="Y773" s="23"/>
      <c r="Z773" s="23"/>
      <c r="AA773" s="23"/>
      <c r="AB773" s="23"/>
      <c r="AC773" s="23"/>
      <c r="AD773" s="23"/>
      <c r="AE773" s="23"/>
      <c r="AF773" s="23"/>
      <c r="AG773" s="23"/>
      <c r="AH773" s="23"/>
      <c r="AI773" s="23"/>
      <c r="AJ773" s="23"/>
      <c r="AK773" s="23"/>
      <c r="AL773" s="23"/>
      <c r="AM773" s="23"/>
      <c r="AN773" s="23"/>
    </row>
    <row r="774" spans="13:40" x14ac:dyDescent="0.2">
      <c r="M774" s="23"/>
      <c r="N774" s="949"/>
      <c r="O774" s="23"/>
      <c r="R774" s="23"/>
      <c r="S774" s="949"/>
      <c r="T774" s="23"/>
      <c r="U774" s="23"/>
      <c r="V774" s="23"/>
      <c r="W774" s="23"/>
      <c r="X774" s="23"/>
      <c r="Y774" s="23"/>
      <c r="Z774" s="23"/>
      <c r="AA774" s="23"/>
      <c r="AB774" s="23"/>
      <c r="AC774" s="23"/>
      <c r="AD774" s="23"/>
      <c r="AE774" s="23"/>
      <c r="AF774" s="23"/>
      <c r="AG774" s="23"/>
      <c r="AH774" s="23"/>
      <c r="AI774" s="23"/>
      <c r="AJ774" s="23"/>
      <c r="AK774" s="23"/>
      <c r="AL774" s="23"/>
      <c r="AM774" s="23"/>
      <c r="AN774" s="23"/>
    </row>
    <row r="775" spans="13:40" x14ac:dyDescent="0.2">
      <c r="M775" s="23"/>
      <c r="N775" s="949"/>
      <c r="O775" s="23"/>
      <c r="R775" s="23"/>
      <c r="S775" s="949"/>
      <c r="T775" s="23"/>
      <c r="U775" s="23"/>
      <c r="V775" s="23"/>
      <c r="W775" s="23"/>
      <c r="X775" s="23"/>
      <c r="Y775" s="23"/>
      <c r="Z775" s="23"/>
      <c r="AA775" s="23"/>
      <c r="AB775" s="23"/>
      <c r="AC775" s="23"/>
      <c r="AD775" s="23"/>
      <c r="AE775" s="23"/>
      <c r="AF775" s="23"/>
      <c r="AG775" s="23"/>
      <c r="AH775" s="23"/>
      <c r="AI775" s="23"/>
      <c r="AJ775" s="23"/>
      <c r="AK775" s="23"/>
      <c r="AL775" s="23"/>
      <c r="AM775" s="23"/>
      <c r="AN775" s="23"/>
    </row>
    <row r="776" spans="13:40" x14ac:dyDescent="0.2">
      <c r="M776" s="23"/>
      <c r="N776" s="949"/>
      <c r="O776" s="23"/>
      <c r="R776" s="23"/>
      <c r="S776" s="949"/>
      <c r="T776" s="23"/>
      <c r="U776" s="23"/>
      <c r="V776" s="23"/>
      <c r="W776" s="23"/>
      <c r="X776" s="23"/>
      <c r="Y776" s="23"/>
      <c r="Z776" s="23"/>
      <c r="AA776" s="23"/>
      <c r="AB776" s="23"/>
      <c r="AC776" s="23"/>
      <c r="AD776" s="23"/>
      <c r="AE776" s="23"/>
      <c r="AF776" s="23"/>
      <c r="AG776" s="23"/>
      <c r="AH776" s="23"/>
      <c r="AI776" s="23"/>
      <c r="AJ776" s="23"/>
      <c r="AK776" s="23"/>
      <c r="AL776" s="23"/>
      <c r="AM776" s="23"/>
      <c r="AN776" s="23"/>
    </row>
    <row r="777" spans="13:40" x14ac:dyDescent="0.2">
      <c r="M777" s="23"/>
      <c r="N777" s="949"/>
      <c r="O777" s="23"/>
      <c r="R777" s="23"/>
      <c r="S777" s="949"/>
      <c r="T777" s="23"/>
      <c r="U777" s="23"/>
      <c r="V777" s="23"/>
      <c r="W777" s="23"/>
      <c r="X777" s="23"/>
      <c r="Y777" s="23"/>
      <c r="Z777" s="23"/>
      <c r="AA777" s="23"/>
      <c r="AB777" s="23"/>
      <c r="AC777" s="23"/>
      <c r="AD777" s="23"/>
      <c r="AE777" s="23"/>
      <c r="AF777" s="23"/>
      <c r="AG777" s="23"/>
      <c r="AH777" s="23"/>
      <c r="AI777" s="23"/>
      <c r="AJ777" s="23"/>
      <c r="AK777" s="23"/>
      <c r="AL777" s="23"/>
      <c r="AM777" s="23"/>
      <c r="AN777" s="23"/>
    </row>
    <row r="778" spans="13:40" x14ac:dyDescent="0.2">
      <c r="M778" s="23"/>
      <c r="N778" s="949"/>
      <c r="O778" s="23"/>
      <c r="R778" s="23"/>
      <c r="S778" s="949"/>
      <c r="T778" s="23"/>
      <c r="U778" s="23"/>
      <c r="V778" s="23"/>
      <c r="W778" s="23"/>
      <c r="X778" s="23"/>
      <c r="Y778" s="23"/>
      <c r="Z778" s="23"/>
      <c r="AA778" s="23"/>
      <c r="AB778" s="23"/>
      <c r="AC778" s="23"/>
      <c r="AD778" s="23"/>
      <c r="AE778" s="23"/>
      <c r="AF778" s="23"/>
      <c r="AG778" s="23"/>
      <c r="AH778" s="23"/>
      <c r="AI778" s="23"/>
      <c r="AJ778" s="23"/>
      <c r="AK778" s="23"/>
      <c r="AL778" s="23"/>
      <c r="AM778" s="23"/>
      <c r="AN778" s="23"/>
    </row>
    <row r="779" spans="13:40" x14ac:dyDescent="0.2">
      <c r="M779" s="23"/>
      <c r="N779" s="949"/>
      <c r="O779" s="23"/>
      <c r="R779" s="23"/>
      <c r="S779" s="949"/>
      <c r="T779" s="23"/>
      <c r="U779" s="23"/>
      <c r="V779" s="23"/>
      <c r="W779" s="23"/>
      <c r="X779" s="23"/>
      <c r="Y779" s="23"/>
      <c r="Z779" s="23"/>
      <c r="AA779" s="23"/>
      <c r="AB779" s="23"/>
      <c r="AC779" s="23"/>
      <c r="AD779" s="23"/>
      <c r="AE779" s="23"/>
      <c r="AF779" s="23"/>
      <c r="AG779" s="23"/>
      <c r="AH779" s="23"/>
      <c r="AI779" s="23"/>
      <c r="AJ779" s="23"/>
      <c r="AK779" s="23"/>
      <c r="AL779" s="23"/>
      <c r="AM779" s="23"/>
      <c r="AN779" s="23"/>
    </row>
    <row r="780" spans="13:40" x14ac:dyDescent="0.2">
      <c r="M780" s="23"/>
      <c r="N780" s="949"/>
      <c r="O780" s="23"/>
      <c r="R780" s="23"/>
      <c r="S780" s="949"/>
      <c r="T780" s="23"/>
      <c r="U780" s="23"/>
      <c r="V780" s="23"/>
      <c r="W780" s="23"/>
      <c r="X780" s="23"/>
      <c r="Y780" s="23"/>
      <c r="Z780" s="23"/>
      <c r="AA780" s="23"/>
      <c r="AB780" s="23"/>
      <c r="AC780" s="23"/>
      <c r="AD780" s="23"/>
      <c r="AE780" s="23"/>
      <c r="AF780" s="23"/>
      <c r="AG780" s="23"/>
      <c r="AH780" s="23"/>
      <c r="AI780" s="23"/>
      <c r="AJ780" s="23"/>
      <c r="AK780" s="23"/>
      <c r="AL780" s="23"/>
      <c r="AM780" s="23"/>
      <c r="AN780" s="23"/>
    </row>
    <row r="781" spans="13:40" x14ac:dyDescent="0.2">
      <c r="M781" s="23"/>
      <c r="N781" s="949"/>
      <c r="O781" s="23"/>
      <c r="R781" s="23"/>
      <c r="S781" s="949"/>
      <c r="T781" s="23"/>
      <c r="U781" s="23"/>
      <c r="V781" s="23"/>
      <c r="W781" s="23"/>
      <c r="X781" s="23"/>
      <c r="Y781" s="23"/>
      <c r="Z781" s="23"/>
      <c r="AA781" s="23"/>
      <c r="AB781" s="23"/>
      <c r="AC781" s="23"/>
      <c r="AD781" s="23"/>
      <c r="AE781" s="23"/>
      <c r="AF781" s="23"/>
      <c r="AG781" s="23"/>
      <c r="AH781" s="23"/>
      <c r="AI781" s="23"/>
      <c r="AJ781" s="23"/>
      <c r="AK781" s="23"/>
      <c r="AL781" s="23"/>
      <c r="AM781" s="23"/>
      <c r="AN781" s="23"/>
    </row>
    <row r="782" spans="13:40" x14ac:dyDescent="0.2">
      <c r="M782" s="23"/>
      <c r="N782" s="949"/>
      <c r="O782" s="23"/>
      <c r="R782" s="23"/>
      <c r="S782" s="949"/>
      <c r="T782" s="23"/>
      <c r="U782" s="23"/>
      <c r="V782" s="23"/>
      <c r="W782" s="23"/>
      <c r="X782" s="23"/>
      <c r="Y782" s="23"/>
      <c r="Z782" s="23"/>
      <c r="AA782" s="23"/>
      <c r="AB782" s="23"/>
      <c r="AC782" s="23"/>
      <c r="AD782" s="23"/>
      <c r="AE782" s="23"/>
      <c r="AF782" s="23"/>
      <c r="AG782" s="23"/>
      <c r="AH782" s="23"/>
      <c r="AI782" s="23"/>
      <c r="AJ782" s="23"/>
      <c r="AK782" s="23"/>
      <c r="AL782" s="23"/>
      <c r="AM782" s="23"/>
      <c r="AN782" s="23"/>
    </row>
    <row r="783" spans="13:40" x14ac:dyDescent="0.2">
      <c r="M783" s="23"/>
      <c r="N783" s="949"/>
      <c r="O783" s="23"/>
      <c r="R783" s="23"/>
      <c r="S783" s="949"/>
      <c r="T783" s="23"/>
      <c r="U783" s="23"/>
      <c r="V783" s="23"/>
      <c r="W783" s="23"/>
      <c r="X783" s="23"/>
      <c r="Y783" s="23"/>
      <c r="Z783" s="23"/>
      <c r="AA783" s="23"/>
      <c r="AB783" s="23"/>
      <c r="AC783" s="23"/>
      <c r="AD783" s="23"/>
      <c r="AE783" s="23"/>
      <c r="AF783" s="23"/>
      <c r="AG783" s="23"/>
      <c r="AH783" s="23"/>
      <c r="AI783" s="23"/>
      <c r="AJ783" s="23"/>
      <c r="AK783" s="23"/>
      <c r="AL783" s="23"/>
      <c r="AM783" s="23"/>
      <c r="AN783" s="23"/>
    </row>
    <row r="784" spans="13:40" x14ac:dyDescent="0.2">
      <c r="M784" s="23"/>
      <c r="N784" s="949"/>
      <c r="O784" s="23"/>
      <c r="R784" s="23"/>
      <c r="S784" s="949"/>
      <c r="T784" s="23"/>
      <c r="U784" s="23"/>
      <c r="V784" s="23"/>
      <c r="W784" s="23"/>
      <c r="X784" s="23"/>
      <c r="Y784" s="23"/>
      <c r="Z784" s="23"/>
      <c r="AA784" s="23"/>
      <c r="AB784" s="23"/>
      <c r="AC784" s="23"/>
      <c r="AD784" s="23"/>
      <c r="AE784" s="23"/>
      <c r="AF784" s="23"/>
      <c r="AG784" s="23"/>
      <c r="AH784" s="23"/>
      <c r="AI784" s="23"/>
      <c r="AJ784" s="23"/>
      <c r="AK784" s="23"/>
      <c r="AL784" s="23"/>
      <c r="AM784" s="23"/>
      <c r="AN784" s="23"/>
    </row>
    <row r="785" spans="13:40" x14ac:dyDescent="0.2">
      <c r="M785" s="23"/>
      <c r="N785" s="949"/>
      <c r="O785" s="23"/>
      <c r="R785" s="23"/>
      <c r="S785" s="949"/>
      <c r="T785" s="23"/>
      <c r="U785" s="23"/>
      <c r="V785" s="23"/>
      <c r="W785" s="23"/>
      <c r="X785" s="23"/>
      <c r="Y785" s="23"/>
      <c r="Z785" s="23"/>
      <c r="AA785" s="23"/>
      <c r="AB785" s="23"/>
      <c r="AC785" s="23"/>
      <c r="AD785" s="23"/>
      <c r="AE785" s="23"/>
      <c r="AF785" s="23"/>
      <c r="AG785" s="23"/>
      <c r="AH785" s="23"/>
      <c r="AI785" s="23"/>
      <c r="AJ785" s="23"/>
      <c r="AK785" s="23"/>
      <c r="AL785" s="23"/>
      <c r="AM785" s="23"/>
      <c r="AN785" s="23"/>
    </row>
    <row r="786" spans="13:40" x14ac:dyDescent="0.2">
      <c r="M786" s="23"/>
      <c r="N786" s="949"/>
      <c r="O786" s="23"/>
      <c r="R786" s="23"/>
      <c r="S786" s="949"/>
      <c r="T786" s="23"/>
      <c r="U786" s="23"/>
      <c r="V786" s="23"/>
      <c r="W786" s="23"/>
      <c r="X786" s="23"/>
      <c r="Y786" s="23"/>
      <c r="Z786" s="23"/>
      <c r="AA786" s="23"/>
      <c r="AB786" s="23"/>
      <c r="AC786" s="23"/>
      <c r="AD786" s="23"/>
      <c r="AE786" s="23"/>
      <c r="AF786" s="23"/>
      <c r="AG786" s="23"/>
      <c r="AH786" s="23"/>
      <c r="AI786" s="23"/>
      <c r="AJ786" s="23"/>
      <c r="AK786" s="23"/>
      <c r="AL786" s="23"/>
      <c r="AM786" s="23"/>
      <c r="AN786" s="23"/>
    </row>
    <row r="787" spans="13:40" x14ac:dyDescent="0.2">
      <c r="M787" s="23"/>
      <c r="N787" s="949"/>
      <c r="O787" s="23"/>
      <c r="R787" s="23"/>
      <c r="S787" s="949"/>
      <c r="T787" s="23"/>
      <c r="U787" s="23"/>
      <c r="V787" s="23"/>
      <c r="W787" s="23"/>
      <c r="X787" s="23"/>
      <c r="Y787" s="23"/>
      <c r="Z787" s="23"/>
      <c r="AA787" s="23"/>
      <c r="AB787" s="23"/>
      <c r="AC787" s="23"/>
      <c r="AD787" s="23"/>
      <c r="AE787" s="23"/>
      <c r="AF787" s="23"/>
      <c r="AG787" s="23"/>
      <c r="AH787" s="23"/>
      <c r="AI787" s="23"/>
      <c r="AJ787" s="23"/>
      <c r="AK787" s="23"/>
      <c r="AL787" s="23"/>
      <c r="AM787" s="23"/>
      <c r="AN787" s="23"/>
    </row>
    <row r="788" spans="13:40" x14ac:dyDescent="0.2">
      <c r="M788" s="23"/>
      <c r="N788" s="949"/>
      <c r="O788" s="23"/>
      <c r="R788" s="23"/>
      <c r="S788" s="949"/>
      <c r="T788" s="23"/>
      <c r="U788" s="23"/>
      <c r="V788" s="23"/>
      <c r="W788" s="23"/>
      <c r="X788" s="23"/>
      <c r="Y788" s="23"/>
      <c r="Z788" s="23"/>
      <c r="AA788" s="23"/>
      <c r="AB788" s="23"/>
      <c r="AC788" s="23"/>
      <c r="AD788" s="23"/>
      <c r="AE788" s="23"/>
      <c r="AF788" s="23"/>
      <c r="AG788" s="23"/>
      <c r="AH788" s="23"/>
      <c r="AI788" s="23"/>
      <c r="AJ788" s="23"/>
      <c r="AK788" s="23"/>
      <c r="AL788" s="23"/>
      <c r="AM788" s="23"/>
      <c r="AN788" s="23"/>
    </row>
    <row r="789" spans="13:40" x14ac:dyDescent="0.2">
      <c r="M789" s="23"/>
      <c r="N789" s="949"/>
      <c r="O789" s="23"/>
      <c r="R789" s="23"/>
      <c r="S789" s="949"/>
      <c r="T789" s="23"/>
      <c r="U789" s="23"/>
      <c r="V789" s="23"/>
      <c r="W789" s="23"/>
      <c r="X789" s="23"/>
      <c r="Y789" s="23"/>
      <c r="Z789" s="23"/>
      <c r="AA789" s="23"/>
      <c r="AB789" s="23"/>
      <c r="AC789" s="23"/>
      <c r="AD789" s="23"/>
      <c r="AE789" s="23"/>
      <c r="AF789" s="23"/>
      <c r="AG789" s="23"/>
      <c r="AH789" s="23"/>
      <c r="AI789" s="23"/>
      <c r="AJ789" s="23"/>
      <c r="AK789" s="23"/>
      <c r="AL789" s="23"/>
      <c r="AM789" s="23"/>
      <c r="AN789" s="23"/>
    </row>
    <row r="790" spans="13:40" x14ac:dyDescent="0.2">
      <c r="M790" s="23"/>
      <c r="N790" s="949"/>
      <c r="O790" s="23"/>
      <c r="R790" s="23"/>
      <c r="S790" s="949"/>
      <c r="T790" s="23"/>
      <c r="U790" s="23"/>
      <c r="V790" s="23"/>
      <c r="W790" s="23"/>
      <c r="X790" s="23"/>
      <c r="Y790" s="23"/>
      <c r="Z790" s="23"/>
      <c r="AA790" s="23"/>
      <c r="AB790" s="23"/>
      <c r="AC790" s="23"/>
      <c r="AD790" s="23"/>
      <c r="AE790" s="23"/>
      <c r="AF790" s="23"/>
      <c r="AG790" s="23"/>
      <c r="AH790" s="23"/>
      <c r="AI790" s="23"/>
      <c r="AJ790" s="23"/>
      <c r="AK790" s="23"/>
      <c r="AL790" s="23"/>
      <c r="AM790" s="23"/>
      <c r="AN790" s="23"/>
    </row>
    <row r="791" spans="13:40" x14ac:dyDescent="0.2">
      <c r="M791" s="23"/>
      <c r="N791" s="949"/>
      <c r="O791" s="23"/>
      <c r="R791" s="23"/>
      <c r="S791" s="949"/>
      <c r="T791" s="23"/>
      <c r="U791" s="23"/>
      <c r="V791" s="23"/>
      <c r="W791" s="23"/>
      <c r="X791" s="23"/>
      <c r="Y791" s="23"/>
      <c r="Z791" s="23"/>
      <c r="AA791" s="23"/>
      <c r="AB791" s="23"/>
      <c r="AC791" s="23"/>
      <c r="AD791" s="23"/>
      <c r="AE791" s="23"/>
      <c r="AF791" s="23"/>
      <c r="AG791" s="23"/>
      <c r="AH791" s="23"/>
      <c r="AI791" s="23"/>
      <c r="AJ791" s="23"/>
      <c r="AK791" s="23"/>
      <c r="AL791" s="23"/>
      <c r="AM791" s="23"/>
      <c r="AN791" s="23"/>
    </row>
    <row r="792" spans="13:40" x14ac:dyDescent="0.2">
      <c r="M792" s="23"/>
      <c r="N792" s="949"/>
      <c r="O792" s="23"/>
      <c r="R792" s="23"/>
      <c r="S792" s="949"/>
      <c r="T792" s="23"/>
      <c r="U792" s="23"/>
      <c r="V792" s="23"/>
      <c r="W792" s="23"/>
      <c r="X792" s="23"/>
      <c r="Y792" s="23"/>
      <c r="Z792" s="23"/>
      <c r="AA792" s="23"/>
      <c r="AB792" s="23"/>
      <c r="AC792" s="23"/>
      <c r="AD792" s="23"/>
      <c r="AE792" s="23"/>
      <c r="AF792" s="23"/>
      <c r="AG792" s="23"/>
      <c r="AH792" s="23"/>
      <c r="AI792" s="23"/>
      <c r="AJ792" s="23"/>
      <c r="AK792" s="23"/>
      <c r="AL792" s="23"/>
      <c r="AM792" s="23"/>
      <c r="AN792" s="23"/>
    </row>
    <row r="793" spans="13:40" x14ac:dyDescent="0.2">
      <c r="M793" s="23"/>
      <c r="N793" s="949"/>
      <c r="O793" s="23"/>
      <c r="R793" s="23"/>
      <c r="S793" s="949"/>
      <c r="T793" s="23"/>
      <c r="U793" s="23"/>
      <c r="V793" s="23"/>
      <c r="W793" s="23"/>
      <c r="X793" s="23"/>
      <c r="Y793" s="23"/>
      <c r="Z793" s="23"/>
      <c r="AA793" s="23"/>
      <c r="AB793" s="23"/>
      <c r="AC793" s="23"/>
      <c r="AD793" s="23"/>
      <c r="AE793" s="23"/>
      <c r="AF793" s="23"/>
      <c r="AG793" s="23"/>
      <c r="AH793" s="23"/>
      <c r="AI793" s="23"/>
      <c r="AJ793" s="23"/>
      <c r="AK793" s="23"/>
      <c r="AL793" s="23"/>
      <c r="AM793" s="23"/>
      <c r="AN793" s="23"/>
    </row>
    <row r="794" spans="13:40" x14ac:dyDescent="0.2">
      <c r="M794" s="23"/>
      <c r="N794" s="949"/>
      <c r="O794" s="23"/>
      <c r="R794" s="23"/>
      <c r="S794" s="949"/>
      <c r="T794" s="23"/>
      <c r="U794" s="23"/>
      <c r="V794" s="23"/>
      <c r="W794" s="23"/>
      <c r="X794" s="23"/>
      <c r="Y794" s="23"/>
      <c r="Z794" s="23"/>
      <c r="AA794" s="23"/>
      <c r="AB794" s="23"/>
      <c r="AC794" s="23"/>
      <c r="AD794" s="23"/>
      <c r="AE794" s="23"/>
      <c r="AF794" s="23"/>
      <c r="AG794" s="23"/>
      <c r="AH794" s="23"/>
      <c r="AI794" s="23"/>
      <c r="AJ794" s="23"/>
      <c r="AK794" s="23"/>
      <c r="AL794" s="23"/>
      <c r="AM794" s="23"/>
      <c r="AN794" s="23"/>
    </row>
    <row r="795" spans="13:40" x14ac:dyDescent="0.2">
      <c r="M795" s="23"/>
      <c r="N795" s="949"/>
      <c r="O795" s="23"/>
      <c r="R795" s="23"/>
      <c r="S795" s="949"/>
      <c r="T795" s="23"/>
      <c r="U795" s="23"/>
      <c r="V795" s="23"/>
      <c r="W795" s="23"/>
      <c r="X795" s="23"/>
      <c r="Y795" s="23"/>
      <c r="Z795" s="23"/>
      <c r="AA795" s="23"/>
      <c r="AB795" s="23"/>
      <c r="AC795" s="23"/>
      <c r="AD795" s="23"/>
      <c r="AE795" s="23"/>
      <c r="AF795" s="23"/>
      <c r="AG795" s="23"/>
      <c r="AH795" s="23"/>
      <c r="AI795" s="23"/>
      <c r="AJ795" s="23"/>
      <c r="AK795" s="23"/>
      <c r="AL795" s="23"/>
      <c r="AM795" s="23"/>
      <c r="AN795" s="23"/>
    </row>
    <row r="796" spans="13:40" x14ac:dyDescent="0.2">
      <c r="M796" s="23"/>
      <c r="N796" s="949"/>
      <c r="O796" s="23"/>
      <c r="R796" s="23"/>
      <c r="S796" s="949"/>
      <c r="T796" s="23"/>
      <c r="U796" s="23"/>
      <c r="V796" s="23"/>
      <c r="W796" s="23"/>
      <c r="X796" s="23"/>
      <c r="Y796" s="23"/>
      <c r="Z796" s="23"/>
      <c r="AA796" s="23"/>
      <c r="AB796" s="23"/>
      <c r="AC796" s="23"/>
      <c r="AD796" s="23"/>
      <c r="AE796" s="23"/>
      <c r="AF796" s="23"/>
      <c r="AG796" s="23"/>
      <c r="AH796" s="23"/>
      <c r="AI796" s="23"/>
      <c r="AJ796" s="23"/>
      <c r="AK796" s="23"/>
      <c r="AL796" s="23"/>
      <c r="AM796" s="23"/>
      <c r="AN796" s="23"/>
    </row>
    <row r="797" spans="13:40" x14ac:dyDescent="0.2">
      <c r="M797" s="23"/>
      <c r="N797" s="949"/>
      <c r="O797" s="23"/>
      <c r="R797" s="23"/>
      <c r="S797" s="949"/>
      <c r="T797" s="23"/>
      <c r="U797" s="23"/>
      <c r="V797" s="23"/>
      <c r="W797" s="23"/>
      <c r="X797" s="23"/>
      <c r="Y797" s="23"/>
      <c r="Z797" s="23"/>
      <c r="AA797" s="23"/>
      <c r="AB797" s="23"/>
      <c r="AC797" s="23"/>
      <c r="AD797" s="23"/>
      <c r="AE797" s="23"/>
      <c r="AF797" s="23"/>
      <c r="AG797" s="23"/>
      <c r="AH797" s="23"/>
      <c r="AI797" s="23"/>
      <c r="AJ797" s="23"/>
      <c r="AK797" s="23"/>
      <c r="AL797" s="23"/>
      <c r="AM797" s="23"/>
      <c r="AN797" s="23"/>
    </row>
    <row r="798" spans="13:40" x14ac:dyDescent="0.2">
      <c r="M798" s="23"/>
      <c r="N798" s="949"/>
      <c r="O798" s="23"/>
      <c r="R798" s="23"/>
      <c r="S798" s="949"/>
      <c r="T798" s="23"/>
      <c r="U798" s="23"/>
      <c r="V798" s="23"/>
      <c r="W798" s="23"/>
      <c r="X798" s="23"/>
      <c r="Y798" s="23"/>
      <c r="Z798" s="23"/>
      <c r="AA798" s="23"/>
      <c r="AB798" s="23"/>
      <c r="AC798" s="23"/>
      <c r="AD798" s="23"/>
      <c r="AE798" s="23"/>
      <c r="AF798" s="23"/>
      <c r="AG798" s="23"/>
      <c r="AH798" s="23"/>
      <c r="AI798" s="23"/>
      <c r="AJ798" s="23"/>
      <c r="AK798" s="23"/>
      <c r="AL798" s="23"/>
      <c r="AM798" s="23"/>
      <c r="AN798" s="23"/>
    </row>
    <row r="799" spans="13:40" x14ac:dyDescent="0.2">
      <c r="M799" s="23"/>
      <c r="N799" s="949"/>
      <c r="O799" s="23"/>
      <c r="R799" s="23"/>
      <c r="S799" s="949"/>
      <c r="T799" s="23"/>
      <c r="U799" s="23"/>
      <c r="V799" s="23"/>
      <c r="W799" s="23"/>
      <c r="X799" s="23"/>
      <c r="Y799" s="23"/>
      <c r="Z799" s="23"/>
      <c r="AA799" s="23"/>
      <c r="AB799" s="23"/>
      <c r="AC799" s="23"/>
      <c r="AD799" s="23"/>
      <c r="AE799" s="23"/>
      <c r="AF799" s="23"/>
      <c r="AG799" s="23"/>
      <c r="AH799" s="23"/>
      <c r="AI799" s="23"/>
      <c r="AJ799" s="23"/>
      <c r="AK799" s="23"/>
      <c r="AL799" s="23"/>
      <c r="AM799" s="23"/>
      <c r="AN799" s="23"/>
    </row>
    <row r="800" spans="13:40" x14ac:dyDescent="0.2">
      <c r="M800" s="23"/>
      <c r="N800" s="949"/>
      <c r="O800" s="23"/>
      <c r="R800" s="23"/>
      <c r="S800" s="949"/>
      <c r="T800" s="23"/>
      <c r="U800" s="23"/>
      <c r="V800" s="23"/>
      <c r="W800" s="23"/>
      <c r="X800" s="23"/>
      <c r="Y800" s="23"/>
      <c r="Z800" s="23"/>
      <c r="AA800" s="23"/>
      <c r="AB800" s="23"/>
      <c r="AC800" s="23"/>
      <c r="AD800" s="23"/>
      <c r="AE800" s="23"/>
      <c r="AF800" s="23"/>
      <c r="AG800" s="23"/>
      <c r="AH800" s="23"/>
      <c r="AI800" s="23"/>
      <c r="AJ800" s="23"/>
      <c r="AK800" s="23"/>
      <c r="AL800" s="23"/>
      <c r="AM800" s="23"/>
      <c r="AN800" s="23"/>
    </row>
    <row r="801" spans="13:40" x14ac:dyDescent="0.2">
      <c r="M801" s="23"/>
      <c r="N801" s="949"/>
      <c r="O801" s="23"/>
      <c r="R801" s="23"/>
      <c r="S801" s="949"/>
      <c r="T801" s="23"/>
      <c r="U801" s="23"/>
      <c r="V801" s="23"/>
      <c r="W801" s="23"/>
      <c r="X801" s="23"/>
      <c r="Y801" s="23"/>
      <c r="Z801" s="23"/>
      <c r="AA801" s="23"/>
      <c r="AB801" s="23"/>
      <c r="AC801" s="23"/>
      <c r="AD801" s="23"/>
      <c r="AE801" s="23"/>
      <c r="AF801" s="23"/>
      <c r="AG801" s="23"/>
      <c r="AH801" s="23"/>
      <c r="AI801" s="23"/>
      <c r="AJ801" s="23"/>
      <c r="AK801" s="23"/>
      <c r="AL801" s="23"/>
      <c r="AM801" s="23"/>
      <c r="AN801" s="23"/>
    </row>
    <row r="802" spans="13:40" x14ac:dyDescent="0.2">
      <c r="M802" s="23"/>
      <c r="N802" s="949"/>
      <c r="O802" s="23"/>
      <c r="R802" s="23"/>
      <c r="S802" s="949"/>
      <c r="T802" s="23"/>
      <c r="U802" s="23"/>
      <c r="V802" s="23"/>
      <c r="W802" s="23"/>
      <c r="X802" s="23"/>
      <c r="Y802" s="23"/>
      <c r="Z802" s="23"/>
      <c r="AA802" s="23"/>
      <c r="AB802" s="23"/>
      <c r="AC802" s="23"/>
      <c r="AD802" s="23"/>
      <c r="AE802" s="23"/>
      <c r="AF802" s="23"/>
      <c r="AG802" s="23"/>
      <c r="AH802" s="23"/>
      <c r="AI802" s="23"/>
      <c r="AJ802" s="23"/>
      <c r="AK802" s="23"/>
      <c r="AL802" s="23"/>
      <c r="AM802" s="23"/>
      <c r="AN802" s="23"/>
    </row>
    <row r="803" spans="13:40" x14ac:dyDescent="0.2">
      <c r="M803" s="23"/>
      <c r="N803" s="949"/>
      <c r="O803" s="23"/>
      <c r="R803" s="23"/>
      <c r="S803" s="949"/>
      <c r="T803" s="23"/>
      <c r="U803" s="23"/>
      <c r="V803" s="23"/>
      <c r="W803" s="23"/>
      <c r="X803" s="23"/>
      <c r="Y803" s="23"/>
      <c r="Z803" s="23"/>
      <c r="AA803" s="23"/>
      <c r="AB803" s="23"/>
      <c r="AC803" s="23"/>
      <c r="AD803" s="23"/>
      <c r="AE803" s="23"/>
      <c r="AF803" s="23"/>
      <c r="AG803" s="23"/>
      <c r="AH803" s="23"/>
      <c r="AI803" s="23"/>
      <c r="AJ803" s="23"/>
      <c r="AK803" s="23"/>
      <c r="AL803" s="23"/>
      <c r="AM803" s="23"/>
      <c r="AN803" s="23"/>
    </row>
    <row r="804" spans="13:40" x14ac:dyDescent="0.2">
      <c r="M804" s="23"/>
      <c r="N804" s="949"/>
      <c r="O804" s="23"/>
      <c r="R804" s="23"/>
      <c r="S804" s="949"/>
      <c r="T804" s="23"/>
      <c r="U804" s="23"/>
      <c r="V804" s="23"/>
      <c r="W804" s="23"/>
      <c r="X804" s="23"/>
      <c r="Y804" s="23"/>
      <c r="Z804" s="23"/>
      <c r="AA804" s="23"/>
      <c r="AB804" s="23"/>
      <c r="AC804" s="23"/>
      <c r="AD804" s="23"/>
      <c r="AE804" s="23"/>
      <c r="AF804" s="23"/>
      <c r="AG804" s="23"/>
      <c r="AH804" s="23"/>
      <c r="AI804" s="23"/>
      <c r="AJ804" s="23"/>
      <c r="AK804" s="23"/>
      <c r="AL804" s="23"/>
      <c r="AM804" s="23"/>
      <c r="AN804" s="23"/>
    </row>
    <row r="805" spans="13:40" x14ac:dyDescent="0.2">
      <c r="M805" s="23"/>
      <c r="N805" s="949"/>
      <c r="O805" s="23"/>
      <c r="R805" s="23"/>
      <c r="S805" s="949"/>
      <c r="T805" s="23"/>
      <c r="U805" s="23"/>
      <c r="V805" s="23"/>
      <c r="W805" s="23"/>
      <c r="X805" s="23"/>
      <c r="Y805" s="23"/>
      <c r="Z805" s="23"/>
      <c r="AA805" s="23"/>
      <c r="AB805" s="23"/>
      <c r="AC805" s="23"/>
      <c r="AD805" s="23"/>
      <c r="AE805" s="23"/>
      <c r="AF805" s="23"/>
      <c r="AG805" s="23"/>
      <c r="AH805" s="23"/>
      <c r="AI805" s="23"/>
      <c r="AJ805" s="23"/>
      <c r="AK805" s="23"/>
      <c r="AL805" s="23"/>
      <c r="AM805" s="23"/>
      <c r="AN805" s="23"/>
    </row>
    <row r="806" spans="13:40" x14ac:dyDescent="0.2">
      <c r="M806" s="23"/>
      <c r="N806" s="949"/>
      <c r="O806" s="23"/>
      <c r="R806" s="23"/>
      <c r="S806" s="949"/>
      <c r="T806" s="23"/>
      <c r="U806" s="23"/>
      <c r="V806" s="23"/>
      <c r="W806" s="23"/>
      <c r="X806" s="23"/>
      <c r="Y806" s="23"/>
      <c r="Z806" s="23"/>
      <c r="AA806" s="23"/>
      <c r="AB806" s="23"/>
      <c r="AC806" s="23"/>
      <c r="AD806" s="23"/>
      <c r="AE806" s="23"/>
      <c r="AF806" s="23"/>
      <c r="AG806" s="23"/>
      <c r="AH806" s="23"/>
      <c r="AI806" s="23"/>
      <c r="AJ806" s="23"/>
      <c r="AK806" s="23"/>
      <c r="AL806" s="23"/>
      <c r="AM806" s="23"/>
      <c r="AN806" s="23"/>
    </row>
    <row r="807" spans="13:40" x14ac:dyDescent="0.2">
      <c r="M807" s="23"/>
      <c r="N807" s="949"/>
      <c r="O807" s="23"/>
      <c r="R807" s="23"/>
      <c r="S807" s="949"/>
      <c r="T807" s="23"/>
      <c r="U807" s="23"/>
      <c r="V807" s="23"/>
      <c r="W807" s="23"/>
      <c r="X807" s="23"/>
      <c r="Y807" s="23"/>
      <c r="Z807" s="23"/>
      <c r="AA807" s="23"/>
      <c r="AB807" s="23"/>
      <c r="AC807" s="23"/>
      <c r="AD807" s="23"/>
      <c r="AE807" s="23"/>
      <c r="AF807" s="23"/>
      <c r="AG807" s="23"/>
      <c r="AH807" s="23"/>
      <c r="AI807" s="23"/>
      <c r="AJ807" s="23"/>
      <c r="AK807" s="23"/>
      <c r="AL807" s="23"/>
      <c r="AM807" s="23"/>
      <c r="AN807" s="23"/>
    </row>
    <row r="808" spans="13:40" x14ac:dyDescent="0.2">
      <c r="M808" s="23"/>
      <c r="N808" s="949"/>
      <c r="O808" s="23"/>
      <c r="R808" s="23"/>
      <c r="S808" s="949"/>
      <c r="T808" s="23"/>
      <c r="U808" s="23"/>
      <c r="V808" s="23"/>
      <c r="W808" s="23"/>
      <c r="X808" s="23"/>
      <c r="Y808" s="23"/>
      <c r="Z808" s="23"/>
      <c r="AA808" s="23"/>
      <c r="AB808" s="23"/>
      <c r="AC808" s="23"/>
      <c r="AD808" s="23"/>
      <c r="AE808" s="23"/>
      <c r="AF808" s="23"/>
      <c r="AG808" s="23"/>
      <c r="AH808" s="23"/>
      <c r="AI808" s="23"/>
      <c r="AJ808" s="23"/>
      <c r="AK808" s="23"/>
      <c r="AL808" s="23"/>
      <c r="AM808" s="23"/>
      <c r="AN808" s="23"/>
    </row>
    <row r="809" spans="13:40" x14ac:dyDescent="0.2">
      <c r="M809" s="23"/>
      <c r="N809" s="949"/>
      <c r="O809" s="23"/>
      <c r="R809" s="23"/>
      <c r="S809" s="949"/>
      <c r="T809" s="23"/>
      <c r="U809" s="23"/>
      <c r="V809" s="23"/>
      <c r="W809" s="23"/>
      <c r="X809" s="23"/>
      <c r="Y809" s="23"/>
      <c r="Z809" s="23"/>
      <c r="AA809" s="23"/>
      <c r="AB809" s="23"/>
      <c r="AC809" s="23"/>
      <c r="AD809" s="23"/>
      <c r="AE809" s="23"/>
      <c r="AF809" s="23"/>
      <c r="AG809" s="23"/>
      <c r="AH809" s="23"/>
      <c r="AI809" s="23"/>
      <c r="AJ809" s="23"/>
      <c r="AK809" s="23"/>
      <c r="AL809" s="23"/>
      <c r="AM809" s="23"/>
      <c r="AN809" s="23"/>
    </row>
    <row r="810" spans="13:40" x14ac:dyDescent="0.2">
      <c r="M810" s="23"/>
      <c r="N810" s="949"/>
      <c r="O810" s="23"/>
      <c r="R810" s="23"/>
      <c r="S810" s="949"/>
      <c r="T810" s="23"/>
      <c r="U810" s="23"/>
      <c r="V810" s="23"/>
      <c r="W810" s="23"/>
      <c r="X810" s="23"/>
      <c r="Y810" s="23"/>
      <c r="Z810" s="23"/>
      <c r="AA810" s="23"/>
      <c r="AB810" s="23"/>
      <c r="AC810" s="23"/>
      <c r="AD810" s="23"/>
      <c r="AE810" s="23"/>
      <c r="AF810" s="23"/>
      <c r="AG810" s="23"/>
      <c r="AH810" s="23"/>
      <c r="AI810" s="23"/>
      <c r="AJ810" s="23"/>
      <c r="AK810" s="23"/>
      <c r="AL810" s="23"/>
      <c r="AM810" s="23"/>
      <c r="AN810" s="23"/>
    </row>
    <row r="811" spans="13:40" x14ac:dyDescent="0.2">
      <c r="M811" s="23"/>
      <c r="N811" s="949"/>
      <c r="O811" s="23"/>
      <c r="R811" s="23"/>
      <c r="S811" s="949"/>
      <c r="T811" s="23"/>
      <c r="U811" s="23"/>
      <c r="V811" s="23"/>
      <c r="W811" s="23"/>
      <c r="X811" s="23"/>
      <c r="Y811" s="23"/>
      <c r="Z811" s="23"/>
      <c r="AA811" s="23"/>
      <c r="AB811" s="23"/>
      <c r="AC811" s="23"/>
      <c r="AD811" s="23"/>
      <c r="AE811" s="23"/>
      <c r="AF811" s="23"/>
      <c r="AG811" s="23"/>
      <c r="AH811" s="23"/>
      <c r="AI811" s="23"/>
      <c r="AJ811" s="23"/>
      <c r="AK811" s="23"/>
      <c r="AL811" s="23"/>
      <c r="AM811" s="23"/>
      <c r="AN811" s="23"/>
    </row>
    <row r="812" spans="13:40" x14ac:dyDescent="0.2">
      <c r="M812" s="23"/>
      <c r="N812" s="949"/>
      <c r="O812" s="23"/>
      <c r="R812" s="23"/>
      <c r="S812" s="949"/>
      <c r="T812" s="23"/>
      <c r="U812" s="23"/>
      <c r="V812" s="23"/>
      <c r="W812" s="23"/>
      <c r="X812" s="23"/>
      <c r="Y812" s="23"/>
      <c r="Z812" s="23"/>
      <c r="AA812" s="23"/>
      <c r="AB812" s="23"/>
      <c r="AC812" s="23"/>
      <c r="AD812" s="23"/>
      <c r="AE812" s="23"/>
      <c r="AF812" s="23"/>
      <c r="AG812" s="23"/>
      <c r="AH812" s="23"/>
      <c r="AI812" s="23"/>
      <c r="AJ812" s="23"/>
      <c r="AK812" s="23"/>
      <c r="AL812" s="23"/>
      <c r="AM812" s="23"/>
      <c r="AN812" s="23"/>
    </row>
    <row r="813" spans="13:40" x14ac:dyDescent="0.2">
      <c r="M813" s="23"/>
      <c r="N813" s="949"/>
      <c r="O813" s="23"/>
      <c r="R813" s="23"/>
      <c r="S813" s="949"/>
      <c r="T813" s="23"/>
      <c r="U813" s="23"/>
      <c r="V813" s="23"/>
      <c r="W813" s="23"/>
      <c r="X813" s="23"/>
      <c r="Y813" s="23"/>
      <c r="Z813" s="23"/>
      <c r="AA813" s="23"/>
      <c r="AB813" s="23"/>
      <c r="AC813" s="23"/>
      <c r="AD813" s="23"/>
      <c r="AE813" s="23"/>
      <c r="AF813" s="23"/>
      <c r="AG813" s="23"/>
      <c r="AH813" s="23"/>
      <c r="AI813" s="23"/>
      <c r="AJ813" s="23"/>
      <c r="AK813" s="23"/>
      <c r="AL813" s="23"/>
      <c r="AM813" s="23"/>
      <c r="AN813" s="23"/>
    </row>
    <row r="814" spans="13:40" x14ac:dyDescent="0.2">
      <c r="M814" s="23"/>
      <c r="N814" s="949"/>
      <c r="O814" s="23"/>
      <c r="R814" s="23"/>
      <c r="S814" s="949"/>
      <c r="T814" s="23"/>
      <c r="U814" s="23"/>
      <c r="V814" s="23"/>
      <c r="W814" s="23"/>
      <c r="X814" s="23"/>
      <c r="Y814" s="23"/>
      <c r="Z814" s="23"/>
      <c r="AA814" s="23"/>
      <c r="AB814" s="23"/>
      <c r="AC814" s="23"/>
      <c r="AD814" s="23"/>
      <c r="AE814" s="23"/>
      <c r="AF814" s="23"/>
      <c r="AG814" s="23"/>
      <c r="AH814" s="23"/>
      <c r="AI814" s="23"/>
      <c r="AJ814" s="23"/>
      <c r="AK814" s="23"/>
      <c r="AL814" s="23"/>
      <c r="AM814" s="23"/>
      <c r="AN814" s="23"/>
    </row>
    <row r="815" spans="13:40" x14ac:dyDescent="0.2">
      <c r="M815" s="23"/>
      <c r="N815" s="949"/>
      <c r="O815" s="23"/>
      <c r="R815" s="23"/>
      <c r="S815" s="949"/>
      <c r="T815" s="23"/>
      <c r="U815" s="23"/>
      <c r="V815" s="23"/>
      <c r="W815" s="23"/>
      <c r="X815" s="23"/>
      <c r="Y815" s="23"/>
      <c r="Z815" s="23"/>
      <c r="AA815" s="23"/>
      <c r="AB815" s="23"/>
      <c r="AC815" s="23"/>
      <c r="AD815" s="23"/>
      <c r="AE815" s="23"/>
      <c r="AF815" s="23"/>
      <c r="AG815" s="23"/>
      <c r="AH815" s="23"/>
      <c r="AI815" s="23"/>
      <c r="AJ815" s="23"/>
      <c r="AK815" s="23"/>
      <c r="AL815" s="23"/>
      <c r="AM815" s="23"/>
      <c r="AN815" s="23"/>
    </row>
    <row r="816" spans="13:40" x14ac:dyDescent="0.2">
      <c r="M816" s="23"/>
      <c r="N816" s="949"/>
      <c r="O816" s="23"/>
      <c r="R816" s="23"/>
      <c r="S816" s="949"/>
      <c r="T816" s="23"/>
      <c r="U816" s="23"/>
      <c r="V816" s="23"/>
      <c r="W816" s="23"/>
      <c r="X816" s="23"/>
      <c r="Y816" s="23"/>
      <c r="Z816" s="23"/>
      <c r="AA816" s="23"/>
      <c r="AB816" s="23"/>
      <c r="AC816" s="23"/>
      <c r="AD816" s="23"/>
      <c r="AE816" s="23"/>
      <c r="AF816" s="23"/>
      <c r="AG816" s="23"/>
      <c r="AH816" s="23"/>
      <c r="AI816" s="23"/>
      <c r="AJ816" s="23"/>
      <c r="AK816" s="23"/>
      <c r="AL816" s="23"/>
      <c r="AM816" s="23"/>
      <c r="AN816" s="23"/>
    </row>
    <row r="817" spans="13:40" x14ac:dyDescent="0.2">
      <c r="M817" s="23"/>
      <c r="N817" s="949"/>
      <c r="O817" s="23"/>
      <c r="R817" s="23"/>
      <c r="S817" s="949"/>
      <c r="T817" s="23"/>
      <c r="U817" s="23"/>
      <c r="V817" s="23"/>
      <c r="W817" s="23"/>
      <c r="X817" s="23"/>
      <c r="Y817" s="23"/>
      <c r="Z817" s="23"/>
      <c r="AA817" s="23"/>
      <c r="AB817" s="23"/>
      <c r="AC817" s="23"/>
      <c r="AD817" s="23"/>
      <c r="AE817" s="23"/>
      <c r="AF817" s="23"/>
      <c r="AG817" s="23"/>
      <c r="AH817" s="23"/>
      <c r="AI817" s="23"/>
      <c r="AJ817" s="23"/>
      <c r="AK817" s="23"/>
      <c r="AL817" s="23"/>
      <c r="AM817" s="23"/>
      <c r="AN817" s="23"/>
    </row>
    <row r="818" spans="13:40" x14ac:dyDescent="0.2">
      <c r="M818" s="23"/>
      <c r="N818" s="949"/>
      <c r="O818" s="23"/>
      <c r="R818" s="23"/>
      <c r="S818" s="949"/>
      <c r="T818" s="23"/>
      <c r="U818" s="23"/>
      <c r="V818" s="23"/>
      <c r="W818" s="23"/>
      <c r="X818" s="23"/>
      <c r="Y818" s="23"/>
      <c r="Z818" s="23"/>
      <c r="AA818" s="23"/>
      <c r="AB818" s="23"/>
      <c r="AC818" s="23"/>
      <c r="AD818" s="23"/>
      <c r="AE818" s="23"/>
      <c r="AF818" s="23"/>
      <c r="AG818" s="23"/>
      <c r="AH818" s="23"/>
      <c r="AI818" s="23"/>
      <c r="AJ818" s="23"/>
      <c r="AK818" s="23"/>
      <c r="AL818" s="23"/>
      <c r="AM818" s="23"/>
      <c r="AN818" s="23"/>
    </row>
    <row r="819" spans="13:40" x14ac:dyDescent="0.2">
      <c r="M819" s="23"/>
      <c r="N819" s="949"/>
      <c r="O819" s="23"/>
      <c r="R819" s="23"/>
      <c r="S819" s="949"/>
      <c r="T819" s="23"/>
      <c r="U819" s="23"/>
      <c r="V819" s="23"/>
      <c r="W819" s="23"/>
      <c r="X819" s="23"/>
      <c r="Y819" s="23"/>
      <c r="Z819" s="23"/>
      <c r="AA819" s="23"/>
      <c r="AB819" s="23"/>
      <c r="AC819" s="23"/>
      <c r="AD819" s="23"/>
      <c r="AE819" s="23"/>
      <c r="AF819" s="23"/>
      <c r="AG819" s="23"/>
      <c r="AH819" s="23"/>
      <c r="AI819" s="23"/>
      <c r="AJ819" s="23"/>
      <c r="AK819" s="23"/>
      <c r="AL819" s="23"/>
      <c r="AM819" s="23"/>
      <c r="AN819" s="23"/>
    </row>
    <row r="820" spans="13:40" x14ac:dyDescent="0.2">
      <c r="M820" s="23"/>
      <c r="N820" s="949"/>
      <c r="O820" s="23"/>
      <c r="R820" s="23"/>
      <c r="S820" s="949"/>
      <c r="T820" s="23"/>
      <c r="U820" s="23"/>
      <c r="V820" s="23"/>
      <c r="W820" s="23"/>
      <c r="X820" s="23"/>
      <c r="Y820" s="23"/>
      <c r="Z820" s="23"/>
      <c r="AA820" s="23"/>
      <c r="AB820" s="23"/>
      <c r="AC820" s="23"/>
      <c r="AD820" s="23"/>
      <c r="AE820" s="23"/>
      <c r="AF820" s="23"/>
      <c r="AG820" s="23"/>
      <c r="AH820" s="23"/>
      <c r="AI820" s="23"/>
      <c r="AJ820" s="23"/>
      <c r="AK820" s="23"/>
      <c r="AL820" s="23"/>
      <c r="AM820" s="23"/>
      <c r="AN820" s="23"/>
    </row>
    <row r="821" spans="13:40" x14ac:dyDescent="0.2">
      <c r="M821" s="23"/>
      <c r="N821" s="949"/>
      <c r="O821" s="23"/>
      <c r="R821" s="23"/>
      <c r="S821" s="949"/>
      <c r="T821" s="23"/>
      <c r="U821" s="23"/>
      <c r="V821" s="23"/>
      <c r="W821" s="23"/>
      <c r="X821" s="23"/>
      <c r="Y821" s="23"/>
      <c r="Z821" s="23"/>
      <c r="AA821" s="23"/>
      <c r="AB821" s="23"/>
      <c r="AC821" s="23"/>
      <c r="AD821" s="23"/>
      <c r="AE821" s="23"/>
      <c r="AF821" s="23"/>
      <c r="AG821" s="23"/>
      <c r="AH821" s="23"/>
      <c r="AI821" s="23"/>
      <c r="AJ821" s="23"/>
      <c r="AK821" s="23"/>
      <c r="AL821" s="23"/>
      <c r="AM821" s="23"/>
      <c r="AN821" s="23"/>
    </row>
    <row r="822" spans="13:40" x14ac:dyDescent="0.2">
      <c r="M822" s="23"/>
      <c r="N822" s="949"/>
      <c r="O822" s="23"/>
      <c r="R822" s="23"/>
      <c r="S822" s="949"/>
      <c r="T822" s="23"/>
      <c r="U822" s="23"/>
      <c r="V822" s="23"/>
      <c r="W822" s="23"/>
      <c r="X822" s="23"/>
      <c r="Y822" s="23"/>
      <c r="Z822" s="23"/>
      <c r="AA822" s="23"/>
      <c r="AB822" s="23"/>
      <c r="AC822" s="23"/>
      <c r="AD822" s="23"/>
      <c r="AE822" s="23"/>
      <c r="AF822" s="23"/>
      <c r="AG822" s="23"/>
      <c r="AH822" s="23"/>
      <c r="AI822" s="23"/>
      <c r="AJ822" s="23"/>
      <c r="AK822" s="23"/>
      <c r="AL822" s="23"/>
      <c r="AM822" s="23"/>
      <c r="AN822" s="23"/>
    </row>
    <row r="823" spans="13:40" x14ac:dyDescent="0.2">
      <c r="M823" s="23"/>
      <c r="N823" s="949"/>
      <c r="O823" s="23"/>
      <c r="R823" s="23"/>
      <c r="S823" s="949"/>
      <c r="T823" s="23"/>
      <c r="U823" s="23"/>
      <c r="V823" s="23"/>
      <c r="W823" s="23"/>
      <c r="X823" s="23"/>
      <c r="Y823" s="23"/>
      <c r="Z823" s="23"/>
      <c r="AA823" s="23"/>
      <c r="AB823" s="23"/>
      <c r="AC823" s="23"/>
      <c r="AD823" s="23"/>
      <c r="AE823" s="23"/>
      <c r="AF823" s="23"/>
      <c r="AG823" s="23"/>
      <c r="AH823" s="23"/>
      <c r="AI823" s="23"/>
      <c r="AJ823" s="23"/>
      <c r="AK823" s="23"/>
      <c r="AL823" s="23"/>
      <c r="AM823" s="23"/>
      <c r="AN823" s="23"/>
    </row>
    <row r="824" spans="13:40" x14ac:dyDescent="0.2">
      <c r="M824" s="23"/>
      <c r="N824" s="949"/>
      <c r="O824" s="23"/>
      <c r="R824" s="23"/>
      <c r="S824" s="949"/>
      <c r="T824" s="23"/>
      <c r="U824" s="23"/>
      <c r="V824" s="23"/>
      <c r="W824" s="23"/>
      <c r="X824" s="23"/>
      <c r="Y824" s="23"/>
      <c r="Z824" s="23"/>
      <c r="AA824" s="23"/>
      <c r="AB824" s="23"/>
      <c r="AC824" s="23"/>
      <c r="AD824" s="23"/>
      <c r="AE824" s="23"/>
      <c r="AF824" s="23"/>
      <c r="AG824" s="23"/>
      <c r="AH824" s="23"/>
      <c r="AI824" s="23"/>
      <c r="AJ824" s="23"/>
      <c r="AK824" s="23"/>
      <c r="AL824" s="23"/>
      <c r="AM824" s="23"/>
      <c r="AN824" s="23"/>
    </row>
    <row r="825" spans="13:40" x14ac:dyDescent="0.2">
      <c r="M825" s="23"/>
      <c r="N825" s="949"/>
      <c r="O825" s="23"/>
      <c r="R825" s="23"/>
      <c r="S825" s="949"/>
      <c r="T825" s="23"/>
      <c r="U825" s="23"/>
      <c r="V825" s="23"/>
      <c r="W825" s="23"/>
      <c r="X825" s="23"/>
      <c r="Y825" s="23"/>
      <c r="Z825" s="23"/>
      <c r="AA825" s="23"/>
      <c r="AB825" s="23"/>
      <c r="AC825" s="23"/>
      <c r="AD825" s="23"/>
      <c r="AE825" s="23"/>
      <c r="AF825" s="23"/>
      <c r="AG825" s="23"/>
      <c r="AH825" s="23"/>
      <c r="AI825" s="23"/>
      <c r="AJ825" s="23"/>
      <c r="AK825" s="23"/>
      <c r="AL825" s="23"/>
      <c r="AM825" s="23"/>
      <c r="AN825" s="23"/>
    </row>
    <row r="826" spans="13:40" x14ac:dyDescent="0.2">
      <c r="M826" s="23"/>
      <c r="N826" s="949"/>
      <c r="O826" s="23"/>
      <c r="R826" s="23"/>
      <c r="S826" s="949"/>
      <c r="T826" s="23"/>
      <c r="U826" s="23"/>
      <c r="V826" s="23"/>
      <c r="W826" s="23"/>
      <c r="X826" s="23"/>
      <c r="Y826" s="23"/>
      <c r="Z826" s="23"/>
      <c r="AA826" s="23"/>
      <c r="AB826" s="23"/>
      <c r="AC826" s="23"/>
      <c r="AD826" s="23"/>
      <c r="AE826" s="23"/>
      <c r="AF826" s="23"/>
      <c r="AG826" s="23"/>
      <c r="AH826" s="23"/>
      <c r="AI826" s="23"/>
      <c r="AJ826" s="23"/>
      <c r="AK826" s="23"/>
      <c r="AL826" s="23"/>
      <c r="AM826" s="23"/>
      <c r="AN826" s="23"/>
    </row>
    <row r="827" spans="13:40" x14ac:dyDescent="0.2">
      <c r="M827" s="23"/>
      <c r="N827" s="949"/>
      <c r="O827" s="23"/>
      <c r="R827" s="23"/>
      <c r="S827" s="949"/>
      <c r="T827" s="23"/>
      <c r="U827" s="23"/>
      <c r="V827" s="23"/>
      <c r="W827" s="23"/>
      <c r="X827" s="23"/>
      <c r="Y827" s="23"/>
      <c r="Z827" s="23"/>
      <c r="AA827" s="23"/>
      <c r="AB827" s="23"/>
      <c r="AC827" s="23"/>
      <c r="AD827" s="23"/>
      <c r="AE827" s="23"/>
      <c r="AF827" s="23"/>
      <c r="AG827" s="23"/>
      <c r="AH827" s="23"/>
      <c r="AI827" s="23"/>
      <c r="AJ827" s="23"/>
      <c r="AK827" s="23"/>
      <c r="AL827" s="23"/>
      <c r="AM827" s="23"/>
      <c r="AN827" s="23"/>
    </row>
    <row r="828" spans="13:40" x14ac:dyDescent="0.2">
      <c r="M828" s="23"/>
      <c r="N828" s="949"/>
      <c r="O828" s="23"/>
      <c r="R828" s="23"/>
      <c r="S828" s="949"/>
      <c r="T828" s="23"/>
      <c r="U828" s="23"/>
      <c r="V828" s="23"/>
      <c r="W828" s="23"/>
      <c r="X828" s="23"/>
      <c r="Y828" s="23"/>
      <c r="Z828" s="23"/>
      <c r="AA828" s="23"/>
      <c r="AB828" s="23"/>
      <c r="AC828" s="23"/>
      <c r="AD828" s="23"/>
      <c r="AE828" s="23"/>
      <c r="AF828" s="23"/>
      <c r="AG828" s="23"/>
      <c r="AH828" s="23"/>
      <c r="AI828" s="23"/>
      <c r="AJ828" s="23"/>
      <c r="AK828" s="23"/>
      <c r="AL828" s="23"/>
      <c r="AM828" s="23"/>
      <c r="AN828" s="23"/>
    </row>
    <row r="829" spans="13:40" x14ac:dyDescent="0.2">
      <c r="M829" s="23"/>
      <c r="N829" s="949"/>
      <c r="O829" s="23"/>
      <c r="R829" s="23"/>
      <c r="S829" s="949"/>
      <c r="T829" s="23"/>
      <c r="U829" s="23"/>
      <c r="V829" s="23"/>
      <c r="W829" s="23"/>
      <c r="X829" s="23"/>
      <c r="Y829" s="23"/>
      <c r="Z829" s="23"/>
      <c r="AA829" s="23"/>
      <c r="AB829" s="23"/>
      <c r="AC829" s="23"/>
      <c r="AD829" s="23"/>
      <c r="AE829" s="23"/>
      <c r="AF829" s="23"/>
      <c r="AG829" s="23"/>
      <c r="AH829" s="23"/>
      <c r="AI829" s="23"/>
      <c r="AJ829" s="23"/>
      <c r="AK829" s="23"/>
      <c r="AL829" s="23"/>
      <c r="AM829" s="23"/>
      <c r="AN829" s="23"/>
    </row>
    <row r="830" spans="13:40" x14ac:dyDescent="0.2">
      <c r="M830" s="23"/>
      <c r="N830" s="949"/>
      <c r="O830" s="23"/>
      <c r="R830" s="23"/>
      <c r="S830" s="949"/>
      <c r="T830" s="23"/>
      <c r="U830" s="23"/>
      <c r="V830" s="23"/>
      <c r="W830" s="23"/>
      <c r="X830" s="23"/>
      <c r="Y830" s="23"/>
      <c r="Z830" s="23"/>
      <c r="AA830" s="23"/>
      <c r="AB830" s="23"/>
      <c r="AC830" s="23"/>
      <c r="AD830" s="23"/>
      <c r="AE830" s="23"/>
      <c r="AF830" s="23"/>
      <c r="AG830" s="23"/>
      <c r="AH830" s="23"/>
      <c r="AI830" s="23"/>
      <c r="AJ830" s="23"/>
      <c r="AK830" s="23"/>
      <c r="AL830" s="23"/>
      <c r="AM830" s="23"/>
      <c r="AN830" s="23"/>
    </row>
    <row r="831" spans="13:40" x14ac:dyDescent="0.2">
      <c r="M831" s="23"/>
      <c r="N831" s="949"/>
      <c r="O831" s="23"/>
      <c r="R831" s="23"/>
      <c r="S831" s="949"/>
      <c r="T831" s="23"/>
      <c r="U831" s="23"/>
      <c r="V831" s="23"/>
      <c r="W831" s="23"/>
      <c r="X831" s="23"/>
      <c r="Y831" s="23"/>
      <c r="Z831" s="23"/>
      <c r="AA831" s="23"/>
      <c r="AB831" s="23"/>
      <c r="AC831" s="23"/>
      <c r="AD831" s="23"/>
      <c r="AE831" s="23"/>
      <c r="AF831" s="23"/>
      <c r="AG831" s="23"/>
      <c r="AH831" s="23"/>
      <c r="AI831" s="23"/>
      <c r="AJ831" s="23"/>
      <c r="AK831" s="23"/>
      <c r="AL831" s="23"/>
      <c r="AM831" s="23"/>
      <c r="AN831" s="23"/>
    </row>
    <row r="832" spans="13:40" x14ac:dyDescent="0.2">
      <c r="M832" s="23"/>
      <c r="N832" s="949"/>
      <c r="O832" s="23"/>
      <c r="R832" s="23"/>
      <c r="S832" s="949"/>
      <c r="T832" s="23"/>
      <c r="U832" s="23"/>
      <c r="V832" s="23"/>
      <c r="W832" s="23"/>
      <c r="X832" s="23"/>
      <c r="Y832" s="23"/>
      <c r="Z832" s="23"/>
      <c r="AA832" s="23"/>
      <c r="AB832" s="23"/>
      <c r="AC832" s="23"/>
      <c r="AD832" s="23"/>
      <c r="AE832" s="23"/>
      <c r="AF832" s="23"/>
      <c r="AG832" s="23"/>
      <c r="AH832" s="23"/>
      <c r="AI832" s="23"/>
      <c r="AJ832" s="23"/>
      <c r="AK832" s="23"/>
      <c r="AL832" s="23"/>
      <c r="AM832" s="23"/>
      <c r="AN832" s="23"/>
    </row>
    <row r="833" spans="13:40" x14ac:dyDescent="0.2">
      <c r="M833" s="23"/>
      <c r="N833" s="949"/>
      <c r="O833" s="23"/>
      <c r="R833" s="23"/>
      <c r="S833" s="949"/>
      <c r="T833" s="23"/>
      <c r="U833" s="23"/>
      <c r="V833" s="23"/>
      <c r="W833" s="23"/>
      <c r="X833" s="23"/>
      <c r="Y833" s="23"/>
      <c r="Z833" s="23"/>
      <c r="AA833" s="23"/>
      <c r="AB833" s="23"/>
      <c r="AC833" s="23"/>
      <c r="AD833" s="23"/>
      <c r="AE833" s="23"/>
      <c r="AF833" s="23"/>
      <c r="AG833" s="23"/>
      <c r="AH833" s="23"/>
      <c r="AI833" s="23"/>
      <c r="AJ833" s="23"/>
      <c r="AK833" s="23"/>
      <c r="AL833" s="23"/>
      <c r="AM833" s="23"/>
      <c r="AN833" s="23"/>
    </row>
    <row r="834" spans="13:40" x14ac:dyDescent="0.2">
      <c r="M834" s="23"/>
      <c r="N834" s="949"/>
      <c r="O834" s="23"/>
      <c r="R834" s="23"/>
      <c r="S834" s="949"/>
      <c r="T834" s="23"/>
      <c r="U834" s="23"/>
      <c r="V834" s="23"/>
      <c r="W834" s="23"/>
      <c r="X834" s="23"/>
      <c r="Y834" s="23"/>
      <c r="Z834" s="23"/>
      <c r="AA834" s="23"/>
      <c r="AB834" s="23"/>
      <c r="AC834" s="23"/>
      <c r="AD834" s="23"/>
      <c r="AE834" s="23"/>
      <c r="AF834" s="23"/>
      <c r="AG834" s="23"/>
      <c r="AH834" s="23"/>
      <c r="AI834" s="23"/>
      <c r="AJ834" s="23"/>
      <c r="AK834" s="23"/>
      <c r="AL834" s="23"/>
      <c r="AM834" s="23"/>
      <c r="AN834" s="23"/>
    </row>
    <row r="835" spans="13:40" x14ac:dyDescent="0.2">
      <c r="M835" s="23"/>
      <c r="N835" s="949"/>
      <c r="O835" s="23"/>
      <c r="R835" s="23"/>
      <c r="S835" s="949"/>
      <c r="T835" s="23"/>
      <c r="U835" s="23"/>
      <c r="V835" s="23"/>
      <c r="W835" s="23"/>
      <c r="X835" s="23"/>
      <c r="Y835" s="23"/>
      <c r="Z835" s="23"/>
      <c r="AA835" s="23"/>
      <c r="AB835" s="23"/>
      <c r="AC835" s="23"/>
      <c r="AD835" s="23"/>
      <c r="AE835" s="23"/>
      <c r="AF835" s="23"/>
      <c r="AG835" s="23"/>
      <c r="AH835" s="23"/>
      <c r="AI835" s="23"/>
      <c r="AJ835" s="23"/>
      <c r="AK835" s="23"/>
      <c r="AL835" s="23"/>
      <c r="AM835" s="23"/>
      <c r="AN835" s="23"/>
    </row>
    <row r="836" spans="13:40" x14ac:dyDescent="0.2">
      <c r="M836" s="23"/>
      <c r="N836" s="949"/>
      <c r="O836" s="23"/>
      <c r="R836" s="23"/>
      <c r="S836" s="949"/>
      <c r="T836" s="23"/>
      <c r="U836" s="23"/>
      <c r="V836" s="23"/>
      <c r="W836" s="23"/>
      <c r="X836" s="23"/>
      <c r="Y836" s="23"/>
      <c r="Z836" s="23"/>
      <c r="AA836" s="23"/>
      <c r="AB836" s="23"/>
      <c r="AC836" s="23"/>
      <c r="AD836" s="23"/>
      <c r="AE836" s="23"/>
      <c r="AF836" s="23"/>
      <c r="AG836" s="23"/>
      <c r="AH836" s="23"/>
      <c r="AI836" s="23"/>
      <c r="AJ836" s="23"/>
      <c r="AK836" s="23"/>
      <c r="AL836" s="23"/>
      <c r="AM836" s="23"/>
      <c r="AN836" s="23"/>
    </row>
    <row r="837" spans="13:40" x14ac:dyDescent="0.2">
      <c r="M837" s="23"/>
      <c r="N837" s="949"/>
      <c r="O837" s="23"/>
      <c r="R837" s="23"/>
      <c r="S837" s="949"/>
      <c r="T837" s="23"/>
      <c r="U837" s="23"/>
      <c r="V837" s="23"/>
      <c r="W837" s="23"/>
      <c r="X837" s="23"/>
      <c r="Y837" s="23"/>
      <c r="Z837" s="23"/>
      <c r="AA837" s="23"/>
      <c r="AB837" s="23"/>
      <c r="AC837" s="23"/>
      <c r="AD837" s="23"/>
      <c r="AE837" s="23"/>
      <c r="AF837" s="23"/>
      <c r="AG837" s="23"/>
      <c r="AH837" s="23"/>
      <c r="AI837" s="23"/>
      <c r="AJ837" s="23"/>
      <c r="AK837" s="23"/>
      <c r="AL837" s="23"/>
      <c r="AM837" s="23"/>
      <c r="AN837" s="23"/>
    </row>
    <row r="838" spans="13:40" x14ac:dyDescent="0.2">
      <c r="M838" s="23"/>
      <c r="N838" s="949"/>
      <c r="O838" s="23"/>
      <c r="R838" s="23"/>
      <c r="S838" s="949"/>
      <c r="T838" s="23"/>
      <c r="U838" s="23"/>
      <c r="V838" s="23"/>
      <c r="W838" s="23"/>
      <c r="X838" s="23"/>
      <c r="Y838" s="23"/>
      <c r="Z838" s="23"/>
      <c r="AA838" s="23"/>
      <c r="AB838" s="23"/>
      <c r="AC838" s="23"/>
      <c r="AD838" s="23"/>
      <c r="AE838" s="23"/>
      <c r="AF838" s="23"/>
      <c r="AG838" s="23"/>
      <c r="AH838" s="23"/>
      <c r="AI838" s="23"/>
      <c r="AJ838" s="23"/>
      <c r="AK838" s="23"/>
      <c r="AL838" s="23"/>
      <c r="AM838" s="23"/>
      <c r="AN838" s="23"/>
    </row>
    <row r="839" spans="13:40" x14ac:dyDescent="0.2">
      <c r="M839" s="23"/>
      <c r="N839" s="949"/>
      <c r="O839" s="23"/>
      <c r="R839" s="23"/>
      <c r="S839" s="949"/>
      <c r="T839" s="23"/>
      <c r="U839" s="23"/>
      <c r="V839" s="23"/>
      <c r="W839" s="23"/>
      <c r="X839" s="23"/>
      <c r="Y839" s="23"/>
      <c r="Z839" s="23"/>
      <c r="AA839" s="23"/>
      <c r="AB839" s="23"/>
      <c r="AC839" s="23"/>
      <c r="AD839" s="23"/>
      <c r="AE839" s="23"/>
      <c r="AF839" s="23"/>
      <c r="AG839" s="23"/>
      <c r="AH839" s="23"/>
      <c r="AI839" s="23"/>
      <c r="AJ839" s="23"/>
      <c r="AK839" s="23"/>
      <c r="AL839" s="23"/>
      <c r="AM839" s="23"/>
      <c r="AN839" s="23"/>
    </row>
    <row r="840" spans="13:40" x14ac:dyDescent="0.2">
      <c r="M840" s="23"/>
      <c r="N840" s="949"/>
      <c r="O840" s="23"/>
      <c r="R840" s="23"/>
      <c r="S840" s="949"/>
      <c r="T840" s="23"/>
      <c r="U840" s="23"/>
      <c r="V840" s="23"/>
      <c r="W840" s="23"/>
      <c r="X840" s="23"/>
      <c r="Y840" s="23"/>
      <c r="Z840" s="23"/>
      <c r="AA840" s="23"/>
      <c r="AB840" s="23"/>
      <c r="AC840" s="23"/>
      <c r="AD840" s="23"/>
      <c r="AE840" s="23"/>
      <c r="AF840" s="23"/>
      <c r="AG840" s="23"/>
      <c r="AH840" s="23"/>
      <c r="AI840" s="23"/>
      <c r="AJ840" s="23"/>
      <c r="AK840" s="23"/>
      <c r="AL840" s="23"/>
      <c r="AM840" s="23"/>
      <c r="AN840" s="23"/>
    </row>
    <row r="841" spans="13:40" x14ac:dyDescent="0.2">
      <c r="M841" s="23"/>
      <c r="N841" s="949"/>
      <c r="O841" s="23"/>
      <c r="R841" s="23"/>
      <c r="S841" s="949"/>
      <c r="T841" s="23"/>
      <c r="U841" s="23"/>
      <c r="V841" s="23"/>
      <c r="W841" s="23"/>
      <c r="X841" s="23"/>
      <c r="Y841" s="23"/>
      <c r="Z841" s="23"/>
      <c r="AA841" s="23"/>
      <c r="AB841" s="23"/>
      <c r="AC841" s="23"/>
      <c r="AD841" s="23"/>
      <c r="AE841" s="23"/>
      <c r="AF841" s="23"/>
      <c r="AG841" s="23"/>
      <c r="AH841" s="23"/>
      <c r="AI841" s="23"/>
      <c r="AJ841" s="23"/>
      <c r="AK841" s="23"/>
      <c r="AL841" s="23"/>
      <c r="AM841" s="23"/>
      <c r="AN841" s="23"/>
    </row>
    <row r="842" spans="13:40" x14ac:dyDescent="0.2">
      <c r="M842" s="23"/>
      <c r="N842" s="949"/>
      <c r="O842" s="23"/>
      <c r="R842" s="23"/>
      <c r="S842" s="949"/>
      <c r="T842" s="23"/>
      <c r="U842" s="23"/>
      <c r="V842" s="23"/>
      <c r="W842" s="23"/>
      <c r="X842" s="23"/>
      <c r="Y842" s="23"/>
      <c r="Z842" s="23"/>
      <c r="AA842" s="23"/>
      <c r="AB842" s="23"/>
      <c r="AC842" s="23"/>
      <c r="AD842" s="23"/>
      <c r="AE842" s="23"/>
      <c r="AF842" s="23"/>
      <c r="AG842" s="23"/>
      <c r="AH842" s="23"/>
      <c r="AI842" s="23"/>
      <c r="AJ842" s="23"/>
      <c r="AK842" s="23"/>
      <c r="AL842" s="23"/>
      <c r="AM842" s="23"/>
      <c r="AN842" s="23"/>
    </row>
    <row r="843" spans="13:40" x14ac:dyDescent="0.2">
      <c r="M843" s="23"/>
      <c r="N843" s="949"/>
      <c r="O843" s="23"/>
      <c r="R843" s="23"/>
      <c r="S843" s="949"/>
      <c r="T843" s="23"/>
      <c r="U843" s="23"/>
      <c r="V843" s="23"/>
      <c r="W843" s="23"/>
      <c r="X843" s="23"/>
      <c r="Y843" s="23"/>
      <c r="Z843" s="23"/>
      <c r="AA843" s="23"/>
      <c r="AB843" s="23"/>
      <c r="AC843" s="23"/>
      <c r="AD843" s="23"/>
      <c r="AE843" s="23"/>
      <c r="AF843" s="23"/>
      <c r="AG843" s="23"/>
      <c r="AH843" s="23"/>
      <c r="AI843" s="23"/>
      <c r="AJ843" s="23"/>
      <c r="AK843" s="23"/>
      <c r="AL843" s="23"/>
      <c r="AM843" s="23"/>
      <c r="AN843" s="23"/>
    </row>
    <row r="844" spans="13:40" x14ac:dyDescent="0.2">
      <c r="M844" s="23"/>
      <c r="N844" s="949"/>
      <c r="O844" s="23"/>
      <c r="R844" s="23"/>
      <c r="S844" s="949"/>
      <c r="T844" s="23"/>
      <c r="U844" s="23"/>
      <c r="V844" s="23"/>
      <c r="W844" s="23"/>
      <c r="X844" s="23"/>
      <c r="Y844" s="23"/>
      <c r="Z844" s="23"/>
      <c r="AA844" s="23"/>
      <c r="AB844" s="23"/>
      <c r="AC844" s="23"/>
      <c r="AD844" s="23"/>
      <c r="AE844" s="23"/>
      <c r="AF844" s="23"/>
      <c r="AG844" s="23"/>
      <c r="AH844" s="23"/>
      <c r="AI844" s="23"/>
      <c r="AJ844" s="23"/>
      <c r="AK844" s="23"/>
      <c r="AL844" s="23"/>
      <c r="AM844" s="23"/>
      <c r="AN844" s="23"/>
    </row>
    <row r="845" spans="13:40" x14ac:dyDescent="0.2">
      <c r="M845" s="23"/>
      <c r="N845" s="949"/>
      <c r="O845" s="23"/>
      <c r="R845" s="23"/>
      <c r="S845" s="949"/>
      <c r="T845" s="23"/>
      <c r="U845" s="23"/>
      <c r="V845" s="23"/>
      <c r="W845" s="23"/>
      <c r="X845" s="23"/>
      <c r="Y845" s="23"/>
      <c r="Z845" s="23"/>
      <c r="AA845" s="23"/>
      <c r="AB845" s="23"/>
      <c r="AC845" s="23"/>
      <c r="AD845" s="23"/>
      <c r="AE845" s="23"/>
      <c r="AF845" s="23"/>
      <c r="AG845" s="23"/>
      <c r="AH845" s="23"/>
      <c r="AI845" s="23"/>
      <c r="AJ845" s="23"/>
      <c r="AK845" s="23"/>
      <c r="AL845" s="23"/>
      <c r="AM845" s="23"/>
      <c r="AN845" s="23"/>
    </row>
    <row r="846" spans="13:40" x14ac:dyDescent="0.2">
      <c r="M846" s="23"/>
      <c r="N846" s="949"/>
      <c r="O846" s="23"/>
      <c r="R846" s="23"/>
      <c r="S846" s="949"/>
      <c r="T846" s="23"/>
      <c r="U846" s="23"/>
      <c r="V846" s="23"/>
      <c r="W846" s="23"/>
      <c r="X846" s="23"/>
      <c r="Y846" s="23"/>
      <c r="Z846" s="23"/>
      <c r="AA846" s="23"/>
      <c r="AB846" s="23"/>
      <c r="AC846" s="23"/>
      <c r="AD846" s="23"/>
      <c r="AE846" s="23"/>
      <c r="AF846" s="23"/>
      <c r="AG846" s="23"/>
      <c r="AH846" s="23"/>
      <c r="AI846" s="23"/>
      <c r="AJ846" s="23"/>
      <c r="AK846" s="23"/>
      <c r="AL846" s="23"/>
      <c r="AM846" s="23"/>
      <c r="AN846" s="23"/>
    </row>
    <row r="847" spans="13:40" x14ac:dyDescent="0.2">
      <c r="M847" s="23"/>
      <c r="N847" s="949"/>
      <c r="O847" s="23"/>
      <c r="R847" s="23"/>
      <c r="S847" s="949"/>
      <c r="T847" s="23"/>
      <c r="U847" s="23"/>
      <c r="V847" s="23"/>
      <c r="W847" s="23"/>
      <c r="X847" s="23"/>
      <c r="Y847" s="23"/>
      <c r="Z847" s="23"/>
      <c r="AA847" s="23"/>
      <c r="AB847" s="23"/>
      <c r="AC847" s="23"/>
      <c r="AD847" s="23"/>
      <c r="AE847" s="23"/>
      <c r="AF847" s="23"/>
      <c r="AG847" s="23"/>
      <c r="AH847" s="23"/>
      <c r="AI847" s="23"/>
      <c r="AJ847" s="23"/>
      <c r="AK847" s="23"/>
      <c r="AL847" s="23"/>
      <c r="AM847" s="23"/>
      <c r="AN847" s="23"/>
    </row>
    <row r="848" spans="13:40" x14ac:dyDescent="0.2">
      <c r="M848" s="23"/>
      <c r="N848" s="949"/>
      <c r="O848" s="23"/>
      <c r="R848" s="23"/>
      <c r="S848" s="949"/>
      <c r="T848" s="23"/>
      <c r="U848" s="23"/>
      <c r="V848" s="23"/>
      <c r="W848" s="23"/>
      <c r="X848" s="23"/>
      <c r="Y848" s="23"/>
      <c r="Z848" s="23"/>
      <c r="AA848" s="23"/>
      <c r="AB848" s="23"/>
      <c r="AC848" s="23"/>
      <c r="AD848" s="23"/>
      <c r="AE848" s="23"/>
      <c r="AF848" s="23"/>
      <c r="AG848" s="23"/>
      <c r="AH848" s="23"/>
      <c r="AI848" s="23"/>
      <c r="AJ848" s="23"/>
      <c r="AK848" s="23"/>
      <c r="AL848" s="23"/>
      <c r="AM848" s="23"/>
      <c r="AN848" s="23"/>
    </row>
    <row r="849" spans="13:40" x14ac:dyDescent="0.2">
      <c r="M849" s="23"/>
      <c r="N849" s="949"/>
      <c r="O849" s="23"/>
      <c r="R849" s="23"/>
      <c r="S849" s="949"/>
      <c r="T849" s="23"/>
      <c r="U849" s="23"/>
      <c r="V849" s="23"/>
      <c r="W849" s="23"/>
      <c r="X849" s="23"/>
      <c r="Y849" s="23"/>
      <c r="Z849" s="23"/>
      <c r="AA849" s="23"/>
      <c r="AB849" s="23"/>
      <c r="AC849" s="23"/>
      <c r="AD849" s="23"/>
      <c r="AE849" s="23"/>
      <c r="AF849" s="23"/>
      <c r="AG849" s="23"/>
      <c r="AH849" s="23"/>
      <c r="AI849" s="23"/>
      <c r="AJ849" s="23"/>
      <c r="AK849" s="23"/>
      <c r="AL849" s="23"/>
      <c r="AM849" s="23"/>
      <c r="AN849" s="23"/>
    </row>
    <row r="850" spans="13:40" x14ac:dyDescent="0.2">
      <c r="M850" s="23"/>
      <c r="N850" s="949"/>
      <c r="O850" s="23"/>
      <c r="R850" s="23"/>
      <c r="S850" s="949"/>
      <c r="T850" s="23"/>
      <c r="U850" s="23"/>
      <c r="V850" s="23"/>
      <c r="W850" s="23"/>
      <c r="X850" s="23"/>
      <c r="Y850" s="23"/>
      <c r="Z850" s="23"/>
      <c r="AA850" s="23"/>
      <c r="AB850" s="23"/>
      <c r="AC850" s="23"/>
      <c r="AD850" s="23"/>
      <c r="AE850" s="23"/>
      <c r="AF850" s="23"/>
      <c r="AG850" s="23"/>
      <c r="AH850" s="23"/>
      <c r="AI850" s="23"/>
      <c r="AJ850" s="23"/>
      <c r="AK850" s="23"/>
      <c r="AL850" s="23"/>
      <c r="AM850" s="23"/>
      <c r="AN850" s="23"/>
    </row>
    <row r="851" spans="13:40" x14ac:dyDescent="0.2">
      <c r="M851" s="23"/>
      <c r="N851" s="949"/>
      <c r="O851" s="23"/>
      <c r="R851" s="23"/>
      <c r="S851" s="949"/>
      <c r="T851" s="23"/>
      <c r="U851" s="23"/>
      <c r="V851" s="23"/>
      <c r="W851" s="23"/>
      <c r="X851" s="23"/>
      <c r="Y851" s="23"/>
      <c r="Z851" s="23"/>
      <c r="AA851" s="23"/>
      <c r="AB851" s="23"/>
      <c r="AC851" s="23"/>
      <c r="AD851" s="23"/>
      <c r="AE851" s="23"/>
      <c r="AF851" s="23"/>
      <c r="AG851" s="23"/>
      <c r="AH851" s="23"/>
      <c r="AI851" s="23"/>
      <c r="AJ851" s="23"/>
      <c r="AK851" s="23"/>
      <c r="AL851" s="23"/>
      <c r="AM851" s="23"/>
      <c r="AN851" s="23"/>
    </row>
    <row r="852" spans="13:40" x14ac:dyDescent="0.2">
      <c r="M852" s="23"/>
      <c r="N852" s="949"/>
      <c r="O852" s="23"/>
      <c r="R852" s="23"/>
      <c r="S852" s="949"/>
      <c r="T852" s="23"/>
      <c r="U852" s="23"/>
      <c r="V852" s="23"/>
      <c r="W852" s="23"/>
      <c r="X852" s="23"/>
      <c r="Y852" s="23"/>
      <c r="Z852" s="23"/>
      <c r="AA852" s="23"/>
      <c r="AB852" s="23"/>
      <c r="AC852" s="23"/>
      <c r="AD852" s="23"/>
      <c r="AE852" s="23"/>
      <c r="AF852" s="23"/>
      <c r="AG852" s="23"/>
      <c r="AH852" s="23"/>
      <c r="AI852" s="23"/>
      <c r="AJ852" s="23"/>
      <c r="AK852" s="23"/>
      <c r="AL852" s="23"/>
      <c r="AM852" s="23"/>
      <c r="AN852" s="23"/>
    </row>
    <row r="853" spans="13:40" x14ac:dyDescent="0.2">
      <c r="M853" s="23"/>
      <c r="N853" s="949"/>
      <c r="O853" s="23"/>
      <c r="R853" s="23"/>
      <c r="S853" s="949"/>
      <c r="T853" s="23"/>
      <c r="U853" s="23"/>
      <c r="V853" s="23"/>
      <c r="W853" s="23"/>
      <c r="X853" s="23"/>
      <c r="Y853" s="23"/>
      <c r="Z853" s="23"/>
      <c r="AA853" s="23"/>
      <c r="AB853" s="23"/>
      <c r="AC853" s="23"/>
      <c r="AD853" s="23"/>
      <c r="AE853" s="23"/>
      <c r="AF853" s="23"/>
      <c r="AG853" s="23"/>
      <c r="AH853" s="23"/>
      <c r="AI853" s="23"/>
      <c r="AJ853" s="23"/>
      <c r="AK853" s="23"/>
      <c r="AL853" s="23"/>
      <c r="AM853" s="23"/>
      <c r="AN853" s="23"/>
    </row>
    <row r="854" spans="13:40" x14ac:dyDescent="0.2">
      <c r="M854" s="23"/>
      <c r="N854" s="949"/>
      <c r="O854" s="23"/>
      <c r="R854" s="23"/>
      <c r="S854" s="949"/>
      <c r="T854" s="23"/>
      <c r="U854" s="23"/>
      <c r="V854" s="23"/>
      <c r="W854" s="23"/>
      <c r="X854" s="23"/>
      <c r="Y854" s="23"/>
      <c r="Z854" s="23"/>
      <c r="AA854" s="23"/>
      <c r="AB854" s="23"/>
      <c r="AC854" s="23"/>
      <c r="AD854" s="23"/>
      <c r="AE854" s="23"/>
      <c r="AF854" s="23"/>
      <c r="AG854" s="23"/>
      <c r="AH854" s="23"/>
      <c r="AI854" s="23"/>
      <c r="AJ854" s="23"/>
      <c r="AK854" s="23"/>
      <c r="AL854" s="23"/>
      <c r="AM854" s="23"/>
      <c r="AN854" s="23"/>
    </row>
    <row r="855" spans="13:40" x14ac:dyDescent="0.2">
      <c r="M855" s="23"/>
      <c r="N855" s="949"/>
      <c r="O855" s="23"/>
      <c r="R855" s="23"/>
      <c r="S855" s="949"/>
      <c r="T855" s="23"/>
      <c r="U855" s="23"/>
      <c r="V855" s="23"/>
      <c r="W855" s="23"/>
      <c r="X855" s="23"/>
      <c r="Y855" s="23"/>
      <c r="Z855" s="23"/>
      <c r="AA855" s="23"/>
      <c r="AB855" s="23"/>
      <c r="AC855" s="23"/>
      <c r="AD855" s="23"/>
      <c r="AE855" s="23"/>
      <c r="AF855" s="23"/>
      <c r="AG855" s="23"/>
      <c r="AH855" s="23"/>
      <c r="AI855" s="23"/>
      <c r="AJ855" s="23"/>
      <c r="AK855" s="23"/>
      <c r="AL855" s="23"/>
      <c r="AM855" s="23"/>
      <c r="AN855" s="23"/>
    </row>
    <row r="856" spans="13:40" x14ac:dyDescent="0.2">
      <c r="M856" s="23"/>
      <c r="N856" s="949"/>
      <c r="O856" s="23"/>
      <c r="R856" s="23"/>
      <c r="S856" s="949"/>
      <c r="T856" s="23"/>
      <c r="U856" s="23"/>
      <c r="V856" s="23"/>
      <c r="W856" s="23"/>
      <c r="X856" s="23"/>
      <c r="Y856" s="23"/>
      <c r="Z856" s="23"/>
      <c r="AA856" s="23"/>
      <c r="AB856" s="23"/>
      <c r="AC856" s="23"/>
      <c r="AD856" s="23"/>
      <c r="AE856" s="23"/>
      <c r="AF856" s="23"/>
      <c r="AG856" s="23"/>
      <c r="AH856" s="23"/>
      <c r="AI856" s="23"/>
      <c r="AJ856" s="23"/>
      <c r="AK856" s="23"/>
      <c r="AL856" s="23"/>
      <c r="AM856" s="23"/>
      <c r="AN856" s="23"/>
    </row>
    <row r="857" spans="13:40" x14ac:dyDescent="0.2">
      <c r="M857" s="23"/>
      <c r="N857" s="949"/>
      <c r="O857" s="23"/>
      <c r="R857" s="23"/>
      <c r="S857" s="949"/>
      <c r="T857" s="23"/>
      <c r="U857" s="23"/>
      <c r="V857" s="23"/>
      <c r="W857" s="23"/>
      <c r="X857" s="23"/>
      <c r="Y857" s="23"/>
      <c r="Z857" s="23"/>
      <c r="AA857" s="23"/>
      <c r="AB857" s="23"/>
      <c r="AC857" s="23"/>
      <c r="AD857" s="23"/>
      <c r="AE857" s="23"/>
      <c r="AF857" s="23"/>
      <c r="AG857" s="23"/>
      <c r="AH857" s="23"/>
      <c r="AI857" s="23"/>
      <c r="AJ857" s="23"/>
      <c r="AK857" s="23"/>
      <c r="AL857" s="23"/>
      <c r="AM857" s="23"/>
      <c r="AN857" s="23"/>
    </row>
    <row r="858" spans="13:40" x14ac:dyDescent="0.2">
      <c r="M858" s="23"/>
      <c r="N858" s="949"/>
      <c r="O858" s="23"/>
      <c r="R858" s="23"/>
      <c r="S858" s="949"/>
      <c r="T858" s="23"/>
      <c r="U858" s="23"/>
      <c r="V858" s="23"/>
      <c r="W858" s="23"/>
      <c r="X858" s="23"/>
      <c r="Y858" s="23"/>
      <c r="Z858" s="23"/>
      <c r="AA858" s="23"/>
      <c r="AB858" s="23"/>
      <c r="AC858" s="23"/>
      <c r="AD858" s="23"/>
      <c r="AE858" s="23"/>
      <c r="AF858" s="23"/>
      <c r="AG858" s="23"/>
      <c r="AH858" s="23"/>
      <c r="AI858" s="23"/>
      <c r="AJ858" s="23"/>
      <c r="AK858" s="23"/>
      <c r="AL858" s="23"/>
      <c r="AM858" s="23"/>
      <c r="AN858" s="23"/>
    </row>
    <row r="859" spans="13:40" x14ac:dyDescent="0.2">
      <c r="M859" s="23"/>
      <c r="N859" s="949"/>
      <c r="O859" s="23"/>
      <c r="R859" s="23"/>
      <c r="S859" s="949"/>
      <c r="T859" s="23"/>
      <c r="U859" s="23"/>
      <c r="V859" s="23"/>
      <c r="W859" s="23"/>
      <c r="X859" s="23"/>
      <c r="Y859" s="23"/>
      <c r="Z859" s="23"/>
      <c r="AA859" s="23"/>
      <c r="AB859" s="23"/>
      <c r="AC859" s="23"/>
      <c r="AD859" s="23"/>
      <c r="AE859" s="23"/>
      <c r="AF859" s="23"/>
      <c r="AG859" s="23"/>
      <c r="AH859" s="23"/>
      <c r="AI859" s="23"/>
      <c r="AJ859" s="23"/>
      <c r="AK859" s="23"/>
      <c r="AL859" s="23"/>
      <c r="AM859" s="23"/>
      <c r="AN859" s="23"/>
    </row>
    <row r="860" spans="13:40" x14ac:dyDescent="0.2">
      <c r="M860" s="23"/>
      <c r="N860" s="949"/>
      <c r="O860" s="23"/>
      <c r="R860" s="23"/>
      <c r="S860" s="949"/>
      <c r="T860" s="23"/>
      <c r="U860" s="23"/>
      <c r="V860" s="23"/>
      <c r="W860" s="23"/>
      <c r="X860" s="23"/>
      <c r="Y860" s="23"/>
      <c r="Z860" s="23"/>
      <c r="AA860" s="23"/>
      <c r="AB860" s="23"/>
      <c r="AC860" s="23"/>
      <c r="AD860" s="23"/>
      <c r="AE860" s="23"/>
      <c r="AF860" s="23"/>
      <c r="AG860" s="23"/>
      <c r="AH860" s="23"/>
      <c r="AI860" s="23"/>
      <c r="AJ860" s="23"/>
      <c r="AK860" s="23"/>
      <c r="AL860" s="23"/>
      <c r="AM860" s="23"/>
      <c r="AN860" s="23"/>
    </row>
    <row r="861" spans="13:40" x14ac:dyDescent="0.2">
      <c r="M861" s="23"/>
      <c r="N861" s="949"/>
      <c r="O861" s="23"/>
      <c r="R861" s="23"/>
      <c r="S861" s="949"/>
      <c r="T861" s="23"/>
      <c r="U861" s="23"/>
      <c r="V861" s="23"/>
      <c r="W861" s="23"/>
      <c r="X861" s="23"/>
      <c r="Y861" s="23"/>
      <c r="Z861" s="23"/>
      <c r="AA861" s="23"/>
      <c r="AB861" s="23"/>
      <c r="AC861" s="23"/>
      <c r="AD861" s="23"/>
      <c r="AE861" s="23"/>
      <c r="AF861" s="23"/>
      <c r="AG861" s="23"/>
      <c r="AH861" s="23"/>
      <c r="AI861" s="23"/>
      <c r="AJ861" s="23"/>
      <c r="AK861" s="23"/>
      <c r="AL861" s="23"/>
      <c r="AM861" s="23"/>
      <c r="AN861" s="23"/>
    </row>
    <row r="862" spans="13:40" x14ac:dyDescent="0.2">
      <c r="M862" s="23"/>
      <c r="N862" s="949"/>
      <c r="O862" s="23"/>
      <c r="R862" s="23"/>
      <c r="S862" s="949"/>
      <c r="T862" s="23"/>
      <c r="U862" s="23"/>
      <c r="V862" s="23"/>
      <c r="W862" s="23"/>
      <c r="X862" s="23"/>
      <c r="Y862" s="23"/>
      <c r="Z862" s="23"/>
      <c r="AA862" s="23"/>
      <c r="AB862" s="23"/>
      <c r="AC862" s="23"/>
      <c r="AD862" s="23"/>
      <c r="AE862" s="23"/>
      <c r="AF862" s="23"/>
      <c r="AG862" s="23"/>
      <c r="AH862" s="23"/>
      <c r="AI862" s="23"/>
      <c r="AJ862" s="23"/>
      <c r="AK862" s="23"/>
      <c r="AL862" s="23"/>
      <c r="AM862" s="23"/>
      <c r="AN862" s="23"/>
    </row>
    <row r="863" spans="13:40" x14ac:dyDescent="0.2">
      <c r="M863" s="23"/>
      <c r="N863" s="949"/>
      <c r="O863" s="23"/>
      <c r="R863" s="23"/>
      <c r="S863" s="949"/>
      <c r="T863" s="23"/>
      <c r="U863" s="23"/>
      <c r="V863" s="23"/>
      <c r="W863" s="23"/>
      <c r="X863" s="23"/>
      <c r="Y863" s="23"/>
      <c r="Z863" s="23"/>
      <c r="AA863" s="23"/>
      <c r="AB863" s="23"/>
      <c r="AC863" s="23"/>
      <c r="AD863" s="23"/>
      <c r="AE863" s="23"/>
      <c r="AF863" s="23"/>
      <c r="AG863" s="23"/>
      <c r="AH863" s="23"/>
      <c r="AI863" s="23"/>
      <c r="AJ863" s="23"/>
      <c r="AK863" s="23"/>
      <c r="AL863" s="23"/>
      <c r="AM863" s="23"/>
      <c r="AN863" s="23"/>
    </row>
    <row r="864" spans="13:40" x14ac:dyDescent="0.2">
      <c r="M864" s="23"/>
      <c r="N864" s="949"/>
      <c r="O864" s="23"/>
      <c r="R864" s="23"/>
      <c r="S864" s="949"/>
      <c r="T864" s="23"/>
      <c r="U864" s="23"/>
      <c r="V864" s="23"/>
      <c r="W864" s="23"/>
      <c r="X864" s="23"/>
      <c r="Y864" s="23"/>
      <c r="Z864" s="23"/>
      <c r="AA864" s="23"/>
      <c r="AB864" s="23"/>
      <c r="AC864" s="23"/>
      <c r="AD864" s="23"/>
      <c r="AE864" s="23"/>
      <c r="AF864" s="23"/>
      <c r="AG864" s="23"/>
      <c r="AH864" s="23"/>
      <c r="AI864" s="23"/>
      <c r="AJ864" s="23"/>
      <c r="AK864" s="23"/>
      <c r="AL864" s="23"/>
      <c r="AM864" s="23"/>
      <c r="AN864" s="23"/>
    </row>
    <row r="865" spans="13:40" x14ac:dyDescent="0.2">
      <c r="M865" s="23"/>
      <c r="N865" s="949"/>
      <c r="O865" s="23"/>
      <c r="R865" s="23"/>
      <c r="S865" s="949"/>
      <c r="T865" s="23"/>
      <c r="U865" s="23"/>
      <c r="V865" s="23"/>
      <c r="W865" s="23"/>
      <c r="X865" s="23"/>
      <c r="Y865" s="23"/>
      <c r="Z865" s="23"/>
      <c r="AA865" s="23"/>
      <c r="AB865" s="23"/>
      <c r="AC865" s="23"/>
      <c r="AD865" s="23"/>
      <c r="AE865" s="23"/>
      <c r="AF865" s="23"/>
      <c r="AG865" s="23"/>
      <c r="AH865" s="23"/>
      <c r="AI865" s="23"/>
      <c r="AJ865" s="23"/>
      <c r="AK865" s="23"/>
      <c r="AL865" s="23"/>
      <c r="AM865" s="23"/>
      <c r="AN865" s="23"/>
    </row>
    <row r="866" spans="13:40" x14ac:dyDescent="0.2">
      <c r="M866" s="23"/>
      <c r="N866" s="949"/>
      <c r="O866" s="23"/>
      <c r="R866" s="23"/>
      <c r="S866" s="949"/>
      <c r="T866" s="23"/>
      <c r="U866" s="23"/>
      <c r="V866" s="23"/>
      <c r="W866" s="23"/>
      <c r="X866" s="23"/>
      <c r="Y866" s="23"/>
      <c r="Z866" s="23"/>
      <c r="AA866" s="23"/>
      <c r="AB866" s="23"/>
      <c r="AC866" s="23"/>
      <c r="AD866" s="23"/>
      <c r="AE866" s="23"/>
      <c r="AF866" s="23"/>
      <c r="AG866" s="23"/>
      <c r="AH866" s="23"/>
      <c r="AI866" s="23"/>
      <c r="AJ866" s="23"/>
      <c r="AK866" s="23"/>
      <c r="AL866" s="23"/>
      <c r="AM866" s="23"/>
      <c r="AN866" s="23"/>
    </row>
    <row r="867" spans="13:40" x14ac:dyDescent="0.2">
      <c r="M867" s="23"/>
      <c r="N867" s="949"/>
      <c r="O867" s="23"/>
      <c r="R867" s="23"/>
      <c r="S867" s="949"/>
      <c r="T867" s="23"/>
      <c r="U867" s="23"/>
      <c r="V867" s="23"/>
      <c r="W867" s="23"/>
      <c r="X867" s="23"/>
      <c r="Y867" s="23"/>
      <c r="Z867" s="23"/>
      <c r="AA867" s="23"/>
      <c r="AB867" s="23"/>
      <c r="AC867" s="23"/>
      <c r="AD867" s="23"/>
      <c r="AE867" s="23"/>
      <c r="AF867" s="23"/>
      <c r="AG867" s="23"/>
      <c r="AH867" s="23"/>
      <c r="AI867" s="23"/>
      <c r="AJ867" s="23"/>
      <c r="AK867" s="23"/>
      <c r="AL867" s="23"/>
      <c r="AM867" s="23"/>
      <c r="AN867" s="23"/>
    </row>
    <row r="868" spans="13:40" x14ac:dyDescent="0.2">
      <c r="M868" s="23"/>
      <c r="N868" s="949"/>
      <c r="O868" s="23"/>
      <c r="R868" s="23"/>
      <c r="S868" s="949"/>
      <c r="T868" s="23"/>
      <c r="U868" s="23"/>
      <c r="V868" s="23"/>
      <c r="W868" s="23"/>
      <c r="X868" s="23"/>
      <c r="Y868" s="23"/>
      <c r="Z868" s="23"/>
      <c r="AA868" s="23"/>
      <c r="AB868" s="23"/>
      <c r="AC868" s="23"/>
      <c r="AD868" s="23"/>
      <c r="AE868" s="23"/>
      <c r="AF868" s="23"/>
      <c r="AG868" s="23"/>
      <c r="AH868" s="23"/>
      <c r="AI868" s="23"/>
      <c r="AJ868" s="23"/>
      <c r="AK868" s="23"/>
      <c r="AL868" s="23"/>
      <c r="AM868" s="23"/>
      <c r="AN868" s="23"/>
    </row>
    <row r="869" spans="13:40" x14ac:dyDescent="0.2">
      <c r="M869" s="23"/>
      <c r="N869" s="949"/>
      <c r="O869" s="23"/>
      <c r="R869" s="23"/>
      <c r="S869" s="949"/>
      <c r="T869" s="23"/>
      <c r="U869" s="23"/>
      <c r="V869" s="23"/>
      <c r="W869" s="23"/>
      <c r="X869" s="23"/>
      <c r="Y869" s="23"/>
      <c r="Z869" s="23"/>
      <c r="AA869" s="23"/>
      <c r="AB869" s="23"/>
      <c r="AC869" s="23"/>
      <c r="AD869" s="23"/>
      <c r="AE869" s="23"/>
      <c r="AF869" s="23"/>
      <c r="AG869" s="23"/>
      <c r="AH869" s="23"/>
      <c r="AI869" s="23"/>
      <c r="AJ869" s="23"/>
      <c r="AK869" s="23"/>
      <c r="AL869" s="23"/>
      <c r="AM869" s="23"/>
      <c r="AN869" s="23"/>
    </row>
    <row r="870" spans="13:40" x14ac:dyDescent="0.2">
      <c r="M870" s="23"/>
      <c r="N870" s="949"/>
      <c r="O870" s="23"/>
      <c r="R870" s="23"/>
      <c r="S870" s="949"/>
      <c r="T870" s="23"/>
      <c r="U870" s="23"/>
      <c r="V870" s="23"/>
      <c r="W870" s="23"/>
      <c r="X870" s="23"/>
      <c r="Y870" s="23"/>
      <c r="Z870" s="23"/>
      <c r="AA870" s="23"/>
      <c r="AB870" s="23"/>
      <c r="AC870" s="23"/>
      <c r="AD870" s="23"/>
      <c r="AE870" s="23"/>
      <c r="AF870" s="23"/>
      <c r="AG870" s="23"/>
      <c r="AH870" s="23"/>
      <c r="AI870" s="23"/>
      <c r="AJ870" s="23"/>
      <c r="AK870" s="23"/>
      <c r="AL870" s="23"/>
      <c r="AM870" s="23"/>
      <c r="AN870" s="23"/>
    </row>
    <row r="871" spans="13:40" x14ac:dyDescent="0.2">
      <c r="M871" s="23"/>
      <c r="N871" s="949"/>
      <c r="O871" s="23"/>
      <c r="R871" s="23"/>
      <c r="S871" s="949"/>
      <c r="T871" s="23"/>
      <c r="U871" s="23"/>
      <c r="V871" s="23"/>
      <c r="W871" s="23"/>
      <c r="X871" s="23"/>
      <c r="Y871" s="23"/>
      <c r="Z871" s="23"/>
      <c r="AA871" s="23"/>
      <c r="AB871" s="23"/>
      <c r="AC871" s="23"/>
      <c r="AD871" s="23"/>
      <c r="AE871" s="23"/>
      <c r="AF871" s="23"/>
      <c r="AG871" s="23"/>
      <c r="AH871" s="23"/>
      <c r="AI871" s="23"/>
      <c r="AJ871" s="23"/>
      <c r="AK871" s="23"/>
      <c r="AL871" s="23"/>
      <c r="AM871" s="23"/>
      <c r="AN871" s="23"/>
    </row>
    <row r="872" spans="13:40" x14ac:dyDescent="0.2">
      <c r="M872" s="23"/>
      <c r="N872" s="949"/>
      <c r="O872" s="23"/>
      <c r="R872" s="23"/>
      <c r="S872" s="949"/>
      <c r="T872" s="23"/>
      <c r="U872" s="23"/>
      <c r="V872" s="23"/>
      <c r="W872" s="23"/>
      <c r="X872" s="23"/>
      <c r="Y872" s="23"/>
      <c r="Z872" s="23"/>
      <c r="AA872" s="23"/>
      <c r="AB872" s="23"/>
      <c r="AC872" s="23"/>
      <c r="AD872" s="23"/>
      <c r="AE872" s="23"/>
      <c r="AF872" s="23"/>
      <c r="AG872" s="23"/>
      <c r="AH872" s="23"/>
      <c r="AI872" s="23"/>
      <c r="AJ872" s="23"/>
      <c r="AK872" s="23"/>
      <c r="AL872" s="23"/>
      <c r="AM872" s="23"/>
      <c r="AN872" s="23"/>
    </row>
    <row r="873" spans="13:40" x14ac:dyDescent="0.2">
      <c r="M873" s="23"/>
      <c r="N873" s="949"/>
      <c r="O873" s="23"/>
      <c r="R873" s="23"/>
      <c r="S873" s="949"/>
      <c r="T873" s="23"/>
      <c r="U873" s="23"/>
      <c r="V873" s="23"/>
      <c r="W873" s="23"/>
      <c r="X873" s="23"/>
      <c r="Y873" s="23"/>
      <c r="Z873" s="23"/>
      <c r="AA873" s="23"/>
      <c r="AB873" s="23"/>
      <c r="AC873" s="23"/>
      <c r="AD873" s="23"/>
      <c r="AE873" s="23"/>
      <c r="AF873" s="23"/>
      <c r="AG873" s="23"/>
      <c r="AH873" s="23"/>
      <c r="AI873" s="23"/>
      <c r="AJ873" s="23"/>
      <c r="AK873" s="23"/>
      <c r="AL873" s="23"/>
      <c r="AM873" s="23"/>
      <c r="AN873" s="23"/>
    </row>
    <row r="874" spans="13:40" x14ac:dyDescent="0.2">
      <c r="M874" s="23"/>
      <c r="N874" s="949"/>
      <c r="O874" s="23"/>
      <c r="R874" s="23"/>
      <c r="S874" s="949"/>
      <c r="T874" s="23"/>
      <c r="U874" s="23"/>
      <c r="V874" s="23"/>
      <c r="W874" s="23"/>
      <c r="X874" s="23"/>
      <c r="Y874" s="23"/>
      <c r="Z874" s="23"/>
      <c r="AA874" s="23"/>
      <c r="AB874" s="23"/>
      <c r="AC874" s="23"/>
      <c r="AD874" s="23"/>
      <c r="AE874" s="23"/>
      <c r="AF874" s="23"/>
      <c r="AG874" s="23"/>
      <c r="AH874" s="23"/>
      <c r="AI874" s="23"/>
      <c r="AJ874" s="23"/>
      <c r="AK874" s="23"/>
      <c r="AL874" s="23"/>
      <c r="AM874" s="23"/>
      <c r="AN874" s="23"/>
    </row>
    <row r="875" spans="13:40" x14ac:dyDescent="0.2">
      <c r="M875" s="23"/>
      <c r="N875" s="949"/>
      <c r="O875" s="23"/>
      <c r="R875" s="23"/>
      <c r="S875" s="949"/>
      <c r="T875" s="23"/>
      <c r="U875" s="23"/>
      <c r="V875" s="23"/>
      <c r="W875" s="23"/>
      <c r="X875" s="23"/>
      <c r="Y875" s="23"/>
      <c r="Z875" s="23"/>
      <c r="AA875" s="23"/>
      <c r="AB875" s="23"/>
      <c r="AC875" s="23"/>
      <c r="AD875" s="23"/>
      <c r="AE875" s="23"/>
      <c r="AF875" s="23"/>
      <c r="AG875" s="23"/>
      <c r="AH875" s="23"/>
      <c r="AI875" s="23"/>
      <c r="AJ875" s="23"/>
      <c r="AK875" s="23"/>
      <c r="AL875" s="23"/>
      <c r="AM875" s="23"/>
      <c r="AN875" s="23"/>
    </row>
    <row r="876" spans="13:40" x14ac:dyDescent="0.2">
      <c r="M876" s="23"/>
      <c r="N876" s="949"/>
      <c r="O876" s="23"/>
      <c r="R876" s="23"/>
      <c r="S876" s="949"/>
      <c r="T876" s="23"/>
      <c r="U876" s="23"/>
      <c r="V876" s="23"/>
      <c r="W876" s="23"/>
      <c r="X876" s="23"/>
      <c r="Y876" s="23"/>
      <c r="Z876" s="23"/>
      <c r="AA876" s="23"/>
      <c r="AB876" s="23"/>
      <c r="AC876" s="23"/>
      <c r="AD876" s="23"/>
      <c r="AE876" s="23"/>
      <c r="AF876" s="23"/>
      <c r="AG876" s="23"/>
      <c r="AH876" s="23"/>
      <c r="AI876" s="23"/>
      <c r="AJ876" s="23"/>
      <c r="AK876" s="23"/>
      <c r="AL876" s="23"/>
      <c r="AM876" s="23"/>
      <c r="AN876" s="23"/>
    </row>
    <row r="877" spans="13:40" x14ac:dyDescent="0.2">
      <c r="M877" s="23"/>
      <c r="N877" s="949"/>
      <c r="O877" s="23"/>
      <c r="R877" s="23"/>
      <c r="S877" s="949"/>
      <c r="T877" s="23"/>
      <c r="U877" s="23"/>
      <c r="V877" s="23"/>
      <c r="W877" s="23"/>
      <c r="X877" s="23"/>
      <c r="Y877" s="23"/>
      <c r="Z877" s="23"/>
      <c r="AA877" s="23"/>
      <c r="AB877" s="23"/>
      <c r="AC877" s="23"/>
      <c r="AD877" s="23"/>
      <c r="AE877" s="23"/>
      <c r="AF877" s="23"/>
      <c r="AG877" s="23"/>
      <c r="AH877" s="23"/>
      <c r="AI877" s="23"/>
      <c r="AJ877" s="23"/>
      <c r="AK877" s="23"/>
      <c r="AL877" s="23"/>
      <c r="AM877" s="23"/>
      <c r="AN877" s="23"/>
    </row>
    <row r="878" spans="13:40" x14ac:dyDescent="0.2">
      <c r="M878" s="23"/>
      <c r="N878" s="949"/>
      <c r="O878" s="23"/>
      <c r="R878" s="23"/>
      <c r="S878" s="949"/>
      <c r="T878" s="23"/>
      <c r="U878" s="23"/>
      <c r="V878" s="23"/>
      <c r="W878" s="23"/>
      <c r="X878" s="23"/>
      <c r="Y878" s="23"/>
      <c r="Z878" s="23"/>
      <c r="AA878" s="23"/>
      <c r="AB878" s="23"/>
      <c r="AC878" s="23"/>
      <c r="AD878" s="23"/>
      <c r="AE878" s="23"/>
      <c r="AF878" s="23"/>
      <c r="AG878" s="23"/>
      <c r="AH878" s="23"/>
      <c r="AI878" s="23"/>
      <c r="AJ878" s="23"/>
      <c r="AK878" s="23"/>
      <c r="AL878" s="23"/>
      <c r="AM878" s="23"/>
      <c r="AN878" s="23"/>
    </row>
    <row r="879" spans="13:40" x14ac:dyDescent="0.2">
      <c r="M879" s="23"/>
      <c r="N879" s="949"/>
      <c r="O879" s="23"/>
      <c r="R879" s="23"/>
      <c r="S879" s="949"/>
      <c r="T879" s="23"/>
      <c r="U879" s="23"/>
      <c r="V879" s="23"/>
      <c r="W879" s="23"/>
      <c r="X879" s="23"/>
      <c r="Y879" s="23"/>
      <c r="Z879" s="23"/>
      <c r="AA879" s="23"/>
      <c r="AB879" s="23"/>
      <c r="AC879" s="23"/>
      <c r="AD879" s="23"/>
      <c r="AE879" s="23"/>
      <c r="AF879" s="23"/>
      <c r="AG879" s="23"/>
      <c r="AH879" s="23"/>
      <c r="AI879" s="23"/>
      <c r="AJ879" s="23"/>
      <c r="AK879" s="23"/>
      <c r="AL879" s="23"/>
      <c r="AM879" s="23"/>
      <c r="AN879" s="23"/>
    </row>
    <row r="880" spans="13:40" x14ac:dyDescent="0.2">
      <c r="M880" s="23"/>
      <c r="N880" s="949"/>
      <c r="O880" s="23"/>
      <c r="R880" s="23"/>
      <c r="S880" s="949"/>
      <c r="T880" s="23"/>
      <c r="U880" s="23"/>
      <c r="V880" s="23"/>
      <c r="W880" s="23"/>
      <c r="X880" s="23"/>
      <c r="Y880" s="23"/>
      <c r="Z880" s="23"/>
      <c r="AA880" s="23"/>
      <c r="AB880" s="23"/>
      <c r="AC880" s="23"/>
      <c r="AD880" s="23"/>
      <c r="AE880" s="23"/>
      <c r="AF880" s="23"/>
      <c r="AG880" s="23"/>
      <c r="AH880" s="23"/>
      <c r="AI880" s="23"/>
      <c r="AJ880" s="23"/>
      <c r="AK880" s="23"/>
      <c r="AL880" s="23"/>
      <c r="AM880" s="23"/>
      <c r="AN880" s="23"/>
    </row>
    <row r="881" spans="13:40" x14ac:dyDescent="0.2">
      <c r="M881" s="23"/>
      <c r="N881" s="949"/>
      <c r="O881" s="23"/>
      <c r="R881" s="23"/>
      <c r="S881" s="949"/>
      <c r="T881" s="23"/>
      <c r="U881" s="23"/>
      <c r="V881" s="23"/>
      <c r="W881" s="23"/>
      <c r="X881" s="23"/>
      <c r="Y881" s="23"/>
      <c r="Z881" s="23"/>
      <c r="AA881" s="23"/>
      <c r="AB881" s="23"/>
      <c r="AC881" s="23"/>
      <c r="AD881" s="23"/>
      <c r="AE881" s="23"/>
      <c r="AF881" s="23"/>
      <c r="AG881" s="23"/>
      <c r="AH881" s="23"/>
      <c r="AI881" s="23"/>
      <c r="AJ881" s="23"/>
      <c r="AK881" s="23"/>
      <c r="AL881" s="23"/>
      <c r="AM881" s="23"/>
      <c r="AN881" s="23"/>
    </row>
    <row r="882" spans="13:40" x14ac:dyDescent="0.2">
      <c r="M882" s="23"/>
      <c r="N882" s="949"/>
      <c r="O882" s="23"/>
      <c r="R882" s="23"/>
      <c r="S882" s="949"/>
      <c r="T882" s="23"/>
      <c r="U882" s="23"/>
      <c r="V882" s="23"/>
      <c r="W882" s="23"/>
      <c r="X882" s="23"/>
      <c r="Y882" s="23"/>
      <c r="Z882" s="23"/>
      <c r="AA882" s="23"/>
      <c r="AB882" s="23"/>
      <c r="AC882" s="23"/>
      <c r="AD882" s="23"/>
      <c r="AE882" s="23"/>
      <c r="AF882" s="23"/>
      <c r="AG882" s="23"/>
      <c r="AH882" s="23"/>
      <c r="AI882" s="23"/>
      <c r="AJ882" s="23"/>
      <c r="AK882" s="23"/>
      <c r="AL882" s="23"/>
      <c r="AM882" s="23"/>
      <c r="AN882" s="23"/>
    </row>
    <row r="883" spans="13:40" x14ac:dyDescent="0.2">
      <c r="M883" s="23"/>
      <c r="N883" s="949"/>
      <c r="O883" s="23"/>
      <c r="R883" s="23"/>
      <c r="S883" s="949"/>
      <c r="T883" s="23"/>
      <c r="U883" s="23"/>
      <c r="V883" s="23"/>
      <c r="W883" s="23"/>
      <c r="X883" s="23"/>
      <c r="Y883" s="23"/>
      <c r="Z883" s="23"/>
      <c r="AA883" s="23"/>
      <c r="AB883" s="23"/>
      <c r="AC883" s="23"/>
      <c r="AD883" s="23"/>
      <c r="AE883" s="23"/>
      <c r="AF883" s="23"/>
      <c r="AG883" s="23"/>
      <c r="AH883" s="23"/>
      <c r="AI883" s="23"/>
      <c r="AJ883" s="23"/>
      <c r="AK883" s="23"/>
      <c r="AL883" s="23"/>
      <c r="AM883" s="23"/>
      <c r="AN883" s="23"/>
    </row>
    <row r="884" spans="13:40" x14ac:dyDescent="0.2">
      <c r="M884" s="23"/>
      <c r="N884" s="949"/>
      <c r="O884" s="23"/>
      <c r="R884" s="23"/>
      <c r="S884" s="949"/>
      <c r="T884" s="23"/>
      <c r="U884" s="23"/>
      <c r="V884" s="23"/>
      <c r="W884" s="23"/>
      <c r="X884" s="23"/>
      <c r="Y884" s="23"/>
      <c r="Z884" s="23"/>
      <c r="AA884" s="23"/>
      <c r="AB884" s="23"/>
      <c r="AC884" s="23"/>
      <c r="AD884" s="23"/>
      <c r="AE884" s="23"/>
      <c r="AF884" s="23"/>
      <c r="AG884" s="23"/>
      <c r="AH884" s="23"/>
      <c r="AI884" s="23"/>
      <c r="AJ884" s="23"/>
      <c r="AK884" s="23"/>
      <c r="AL884" s="23"/>
      <c r="AM884" s="23"/>
      <c r="AN884" s="23"/>
    </row>
    <row r="885" spans="13:40" x14ac:dyDescent="0.2">
      <c r="M885" s="23"/>
      <c r="N885" s="949"/>
      <c r="O885" s="23"/>
      <c r="R885" s="23"/>
      <c r="S885" s="949"/>
      <c r="T885" s="23"/>
      <c r="U885" s="23"/>
      <c r="V885" s="23"/>
      <c r="W885" s="23"/>
      <c r="X885" s="23"/>
      <c r="Y885" s="23"/>
      <c r="Z885" s="23"/>
      <c r="AA885" s="23"/>
      <c r="AB885" s="23"/>
      <c r="AC885" s="23"/>
      <c r="AD885" s="23"/>
      <c r="AE885" s="23"/>
      <c r="AF885" s="23"/>
      <c r="AG885" s="23"/>
      <c r="AH885" s="23"/>
      <c r="AI885" s="23"/>
      <c r="AJ885" s="23"/>
      <c r="AK885" s="23"/>
      <c r="AL885" s="23"/>
      <c r="AM885" s="23"/>
      <c r="AN885" s="23"/>
    </row>
    <row r="886" spans="13:40" x14ac:dyDescent="0.2">
      <c r="M886" s="23"/>
      <c r="N886" s="949"/>
      <c r="O886" s="23"/>
      <c r="R886" s="23"/>
      <c r="S886" s="949"/>
      <c r="T886" s="23"/>
      <c r="U886" s="23"/>
      <c r="V886" s="23"/>
      <c r="W886" s="23"/>
      <c r="X886" s="23"/>
      <c r="Y886" s="23"/>
      <c r="Z886" s="23"/>
      <c r="AA886" s="23"/>
      <c r="AB886" s="23"/>
      <c r="AC886" s="23"/>
      <c r="AD886" s="23"/>
      <c r="AE886" s="23"/>
      <c r="AF886" s="23"/>
      <c r="AG886" s="23"/>
      <c r="AH886" s="23"/>
      <c r="AI886" s="23"/>
      <c r="AJ886" s="23"/>
      <c r="AK886" s="23"/>
      <c r="AL886" s="23"/>
      <c r="AM886" s="23"/>
      <c r="AN886" s="23"/>
    </row>
    <row r="887" spans="13:40" x14ac:dyDescent="0.2">
      <c r="M887" s="23"/>
      <c r="N887" s="949"/>
      <c r="O887" s="23"/>
      <c r="R887" s="23"/>
      <c r="S887" s="949"/>
      <c r="T887" s="23"/>
      <c r="U887" s="23"/>
      <c r="V887" s="23"/>
      <c r="W887" s="23"/>
      <c r="X887" s="23"/>
      <c r="Y887" s="23"/>
      <c r="Z887" s="23"/>
      <c r="AA887" s="23"/>
      <c r="AB887" s="23"/>
      <c r="AC887" s="23"/>
      <c r="AD887" s="23"/>
      <c r="AE887" s="23"/>
      <c r="AF887" s="23"/>
      <c r="AG887" s="23"/>
      <c r="AH887" s="23"/>
      <c r="AI887" s="23"/>
      <c r="AJ887" s="23"/>
      <c r="AK887" s="23"/>
      <c r="AL887" s="23"/>
      <c r="AM887" s="23"/>
      <c r="AN887" s="23"/>
    </row>
    <row r="888" spans="13:40" x14ac:dyDescent="0.2">
      <c r="M888" s="23"/>
      <c r="N888" s="949"/>
      <c r="O888" s="23"/>
      <c r="R888" s="23"/>
      <c r="S888" s="949"/>
      <c r="T888" s="23"/>
      <c r="U888" s="23"/>
      <c r="V888" s="23"/>
      <c r="W888" s="23"/>
      <c r="X888" s="23"/>
      <c r="Y888" s="23"/>
      <c r="Z888" s="23"/>
      <c r="AA888" s="23"/>
      <c r="AB888" s="23"/>
      <c r="AC888" s="23"/>
      <c r="AD888" s="23"/>
      <c r="AE888" s="23"/>
      <c r="AF888" s="23"/>
      <c r="AG888" s="23"/>
      <c r="AH888" s="23"/>
      <c r="AI888" s="23"/>
      <c r="AJ888" s="23"/>
      <c r="AK888" s="23"/>
      <c r="AL888" s="23"/>
      <c r="AM888" s="23"/>
      <c r="AN888" s="23"/>
    </row>
    <row r="889" spans="13:40" x14ac:dyDescent="0.2">
      <c r="M889" s="23"/>
      <c r="N889" s="949"/>
      <c r="O889" s="23"/>
      <c r="R889" s="23"/>
      <c r="S889" s="949"/>
      <c r="T889" s="23"/>
      <c r="U889" s="23"/>
      <c r="V889" s="23"/>
      <c r="W889" s="23"/>
      <c r="X889" s="23"/>
      <c r="Y889" s="23"/>
      <c r="Z889" s="23"/>
      <c r="AA889" s="23"/>
      <c r="AB889" s="23"/>
      <c r="AC889" s="23"/>
      <c r="AD889" s="23"/>
      <c r="AE889" s="23"/>
      <c r="AF889" s="23"/>
      <c r="AG889" s="23"/>
      <c r="AH889" s="23"/>
      <c r="AI889" s="23"/>
      <c r="AJ889" s="23"/>
      <c r="AK889" s="23"/>
      <c r="AL889" s="23"/>
      <c r="AM889" s="23"/>
      <c r="AN889" s="23"/>
    </row>
    <row r="890" spans="13:40" x14ac:dyDescent="0.2">
      <c r="M890" s="23"/>
      <c r="N890" s="949"/>
      <c r="O890" s="23"/>
      <c r="R890" s="23"/>
      <c r="S890" s="949"/>
      <c r="T890" s="23"/>
      <c r="U890" s="23"/>
      <c r="V890" s="23"/>
      <c r="W890" s="23"/>
      <c r="X890" s="23"/>
      <c r="Y890" s="23"/>
      <c r="Z890" s="23"/>
      <c r="AA890" s="23"/>
      <c r="AB890" s="23"/>
      <c r="AC890" s="23"/>
      <c r="AD890" s="23"/>
      <c r="AE890" s="23"/>
      <c r="AF890" s="23"/>
      <c r="AG890" s="23"/>
      <c r="AH890" s="23"/>
      <c r="AI890" s="23"/>
      <c r="AJ890" s="23"/>
      <c r="AK890" s="23"/>
      <c r="AL890" s="23"/>
      <c r="AM890" s="23"/>
      <c r="AN890" s="23"/>
    </row>
    <row r="891" spans="13:40" x14ac:dyDescent="0.2">
      <c r="M891" s="23"/>
      <c r="N891" s="949"/>
      <c r="O891" s="23"/>
      <c r="R891" s="23"/>
      <c r="S891" s="949"/>
      <c r="T891" s="23"/>
      <c r="U891" s="23"/>
      <c r="V891" s="23"/>
      <c r="W891" s="23"/>
      <c r="X891" s="23"/>
      <c r="Y891" s="23"/>
      <c r="Z891" s="23"/>
      <c r="AA891" s="23"/>
      <c r="AB891" s="23"/>
      <c r="AC891" s="23"/>
      <c r="AD891" s="23"/>
      <c r="AE891" s="23"/>
      <c r="AF891" s="23"/>
      <c r="AG891" s="23"/>
      <c r="AH891" s="23"/>
      <c r="AI891" s="23"/>
      <c r="AJ891" s="23"/>
      <c r="AK891" s="23"/>
      <c r="AL891" s="23"/>
      <c r="AM891" s="23"/>
      <c r="AN891" s="23"/>
    </row>
    <row r="892" spans="13:40" x14ac:dyDescent="0.2">
      <c r="M892" s="23"/>
      <c r="N892" s="949"/>
      <c r="O892" s="23"/>
      <c r="R892" s="23"/>
      <c r="S892" s="949"/>
      <c r="T892" s="23"/>
      <c r="U892" s="23"/>
      <c r="V892" s="23"/>
      <c r="W892" s="23"/>
      <c r="X892" s="23"/>
      <c r="Y892" s="23"/>
      <c r="Z892" s="23"/>
      <c r="AA892" s="23"/>
      <c r="AB892" s="23"/>
      <c r="AC892" s="23"/>
      <c r="AD892" s="23"/>
      <c r="AE892" s="23"/>
      <c r="AF892" s="23"/>
      <c r="AG892" s="23"/>
      <c r="AH892" s="23"/>
      <c r="AI892" s="23"/>
      <c r="AJ892" s="23"/>
      <c r="AK892" s="23"/>
      <c r="AL892" s="23"/>
      <c r="AM892" s="23"/>
      <c r="AN892" s="23"/>
    </row>
    <row r="893" spans="13:40" x14ac:dyDescent="0.2">
      <c r="M893" s="23"/>
      <c r="N893" s="949"/>
      <c r="O893" s="23"/>
      <c r="R893" s="23"/>
      <c r="S893" s="949"/>
      <c r="T893" s="23"/>
      <c r="U893" s="23"/>
      <c r="V893" s="23"/>
      <c r="W893" s="23"/>
      <c r="X893" s="23"/>
      <c r="Y893" s="23"/>
      <c r="Z893" s="23"/>
      <c r="AA893" s="23"/>
      <c r="AB893" s="23"/>
      <c r="AC893" s="23"/>
      <c r="AD893" s="23"/>
      <c r="AE893" s="23"/>
      <c r="AF893" s="23"/>
      <c r="AG893" s="23"/>
      <c r="AH893" s="23"/>
      <c r="AI893" s="23"/>
      <c r="AJ893" s="23"/>
      <c r="AK893" s="23"/>
      <c r="AL893" s="23"/>
      <c r="AM893" s="23"/>
      <c r="AN893" s="23"/>
    </row>
    <row r="894" spans="13:40" x14ac:dyDescent="0.2">
      <c r="M894" s="23"/>
      <c r="N894" s="949"/>
      <c r="O894" s="23"/>
      <c r="R894" s="23"/>
      <c r="S894" s="949"/>
      <c r="T894" s="23"/>
      <c r="U894" s="23"/>
      <c r="V894" s="23"/>
      <c r="W894" s="23"/>
      <c r="X894" s="23"/>
      <c r="Y894" s="23"/>
      <c r="Z894" s="23"/>
      <c r="AA894" s="23"/>
      <c r="AB894" s="23"/>
      <c r="AC894" s="23"/>
      <c r="AD894" s="23"/>
      <c r="AE894" s="23"/>
      <c r="AF894" s="23"/>
      <c r="AG894" s="23"/>
      <c r="AH894" s="23"/>
      <c r="AI894" s="23"/>
      <c r="AJ894" s="23"/>
      <c r="AK894" s="23"/>
      <c r="AL894" s="23"/>
      <c r="AM894" s="23"/>
      <c r="AN894" s="23"/>
    </row>
    <row r="895" spans="13:40" x14ac:dyDescent="0.2">
      <c r="M895" s="23"/>
      <c r="N895" s="949"/>
      <c r="O895" s="23"/>
      <c r="R895" s="23"/>
      <c r="S895" s="949"/>
      <c r="T895" s="23"/>
      <c r="U895" s="23"/>
      <c r="V895" s="23"/>
      <c r="W895" s="23"/>
      <c r="X895" s="23"/>
      <c r="Y895" s="23"/>
      <c r="Z895" s="23"/>
      <c r="AA895" s="23"/>
      <c r="AB895" s="23"/>
      <c r="AC895" s="23"/>
      <c r="AD895" s="23"/>
      <c r="AE895" s="23"/>
      <c r="AF895" s="23"/>
      <c r="AG895" s="23"/>
      <c r="AH895" s="23"/>
      <c r="AI895" s="23"/>
      <c r="AJ895" s="23"/>
      <c r="AK895" s="23"/>
      <c r="AL895" s="23"/>
      <c r="AM895" s="23"/>
      <c r="AN895" s="23"/>
    </row>
    <row r="896" spans="13:40" x14ac:dyDescent="0.2">
      <c r="M896" s="23"/>
      <c r="N896" s="949"/>
      <c r="O896" s="23"/>
      <c r="R896" s="23"/>
      <c r="S896" s="949"/>
      <c r="T896" s="23"/>
      <c r="U896" s="23"/>
      <c r="V896" s="23"/>
      <c r="W896" s="23"/>
      <c r="X896" s="23"/>
      <c r="Y896" s="23"/>
      <c r="Z896" s="23"/>
      <c r="AA896" s="23"/>
      <c r="AB896" s="23"/>
      <c r="AC896" s="23"/>
      <c r="AD896" s="23"/>
      <c r="AE896" s="23"/>
      <c r="AF896" s="23"/>
      <c r="AG896" s="23"/>
      <c r="AH896" s="23"/>
      <c r="AI896" s="23"/>
      <c r="AJ896" s="23"/>
      <c r="AK896" s="23"/>
      <c r="AL896" s="23"/>
      <c r="AM896" s="23"/>
      <c r="AN896" s="23"/>
    </row>
    <row r="897" spans="13:40" x14ac:dyDescent="0.2">
      <c r="M897" s="23"/>
      <c r="N897" s="949"/>
      <c r="O897" s="23"/>
      <c r="R897" s="23"/>
      <c r="S897" s="949"/>
      <c r="T897" s="23"/>
      <c r="U897" s="23"/>
      <c r="V897" s="23"/>
      <c r="W897" s="23"/>
      <c r="X897" s="23"/>
      <c r="Y897" s="23"/>
      <c r="Z897" s="23"/>
      <c r="AA897" s="23"/>
      <c r="AB897" s="23"/>
      <c r="AC897" s="23"/>
      <c r="AD897" s="23"/>
      <c r="AE897" s="23"/>
      <c r="AF897" s="23"/>
      <c r="AG897" s="23"/>
      <c r="AH897" s="23"/>
      <c r="AI897" s="23"/>
      <c r="AJ897" s="23"/>
      <c r="AK897" s="23"/>
      <c r="AL897" s="23"/>
      <c r="AM897" s="23"/>
      <c r="AN897" s="23"/>
    </row>
    <row r="898" spans="13:40" x14ac:dyDescent="0.2">
      <c r="M898" s="23"/>
      <c r="N898" s="949"/>
      <c r="O898" s="23"/>
      <c r="R898" s="23"/>
      <c r="S898" s="949"/>
      <c r="T898" s="23"/>
      <c r="U898" s="23"/>
      <c r="V898" s="23"/>
      <c r="W898" s="23"/>
      <c r="X898" s="23"/>
      <c r="Y898" s="23"/>
      <c r="Z898" s="23"/>
      <c r="AA898" s="23"/>
      <c r="AB898" s="23"/>
      <c r="AC898" s="23"/>
      <c r="AD898" s="23"/>
      <c r="AE898" s="23"/>
      <c r="AF898" s="23"/>
      <c r="AG898" s="23"/>
      <c r="AH898" s="23"/>
      <c r="AI898" s="23"/>
      <c r="AJ898" s="23"/>
      <c r="AK898" s="23"/>
      <c r="AL898" s="23"/>
      <c r="AM898" s="23"/>
      <c r="AN898" s="23"/>
    </row>
    <row r="899" spans="13:40" x14ac:dyDescent="0.2">
      <c r="M899" s="23"/>
      <c r="N899" s="949"/>
      <c r="O899" s="23"/>
      <c r="R899" s="23"/>
      <c r="S899" s="949"/>
      <c r="T899" s="23"/>
      <c r="U899" s="23"/>
      <c r="V899" s="23"/>
      <c r="W899" s="23"/>
      <c r="X899" s="23"/>
      <c r="Y899" s="23"/>
      <c r="Z899" s="23"/>
      <c r="AA899" s="23"/>
      <c r="AB899" s="23"/>
      <c r="AC899" s="23"/>
      <c r="AD899" s="23"/>
      <c r="AE899" s="23"/>
      <c r="AF899" s="23"/>
      <c r="AG899" s="23"/>
      <c r="AH899" s="23"/>
      <c r="AI899" s="23"/>
      <c r="AJ899" s="23"/>
      <c r="AK899" s="23"/>
      <c r="AL899" s="23"/>
      <c r="AM899" s="23"/>
      <c r="AN899" s="23"/>
    </row>
    <row r="900" spans="13:40" x14ac:dyDescent="0.2">
      <c r="M900" s="23"/>
      <c r="N900" s="949"/>
      <c r="O900" s="23"/>
      <c r="R900" s="23"/>
      <c r="S900" s="949"/>
      <c r="T900" s="23"/>
      <c r="U900" s="23"/>
      <c r="V900" s="23"/>
      <c r="W900" s="23"/>
      <c r="X900" s="23"/>
      <c r="Y900" s="23"/>
      <c r="Z900" s="23"/>
      <c r="AA900" s="23"/>
      <c r="AB900" s="23"/>
      <c r="AC900" s="23"/>
      <c r="AD900" s="23"/>
      <c r="AE900" s="23"/>
      <c r="AF900" s="23"/>
      <c r="AG900" s="23"/>
      <c r="AH900" s="23"/>
      <c r="AI900" s="23"/>
      <c r="AJ900" s="23"/>
      <c r="AK900" s="23"/>
      <c r="AL900" s="23"/>
      <c r="AM900" s="23"/>
      <c r="AN900" s="23"/>
    </row>
    <row r="901" spans="13:40" x14ac:dyDescent="0.2">
      <c r="M901" s="23"/>
      <c r="N901" s="949"/>
      <c r="O901" s="23"/>
      <c r="R901" s="23"/>
      <c r="S901" s="949"/>
      <c r="T901" s="23"/>
      <c r="U901" s="23"/>
      <c r="V901" s="23"/>
      <c r="W901" s="23"/>
      <c r="X901" s="23"/>
      <c r="Y901" s="23"/>
      <c r="Z901" s="23"/>
      <c r="AA901" s="23"/>
      <c r="AB901" s="23"/>
      <c r="AC901" s="23"/>
      <c r="AD901" s="23"/>
      <c r="AE901" s="23"/>
      <c r="AF901" s="23"/>
      <c r="AG901" s="23"/>
      <c r="AH901" s="23"/>
      <c r="AI901" s="23"/>
      <c r="AJ901" s="23"/>
      <c r="AK901" s="23"/>
      <c r="AL901" s="23"/>
      <c r="AM901" s="23"/>
      <c r="AN901" s="23"/>
    </row>
    <row r="902" spans="13:40" x14ac:dyDescent="0.2">
      <c r="M902" s="23"/>
      <c r="N902" s="949"/>
      <c r="O902" s="23"/>
      <c r="R902" s="23"/>
      <c r="S902" s="949"/>
      <c r="T902" s="23"/>
      <c r="U902" s="23"/>
      <c r="V902" s="23"/>
      <c r="W902" s="23"/>
      <c r="X902" s="23"/>
      <c r="Y902" s="23"/>
      <c r="Z902" s="23"/>
      <c r="AA902" s="23"/>
      <c r="AB902" s="23"/>
      <c r="AC902" s="23"/>
      <c r="AD902" s="23"/>
      <c r="AE902" s="23"/>
      <c r="AF902" s="23"/>
      <c r="AG902" s="23"/>
      <c r="AH902" s="23"/>
      <c r="AI902" s="23"/>
      <c r="AJ902" s="23"/>
      <c r="AK902" s="23"/>
      <c r="AL902" s="23"/>
      <c r="AM902" s="23"/>
      <c r="AN902" s="23"/>
    </row>
    <row r="903" spans="13:40" x14ac:dyDescent="0.2">
      <c r="M903" s="23"/>
      <c r="N903" s="949"/>
      <c r="O903" s="23"/>
      <c r="R903" s="23"/>
      <c r="S903" s="949"/>
      <c r="T903" s="23"/>
      <c r="U903" s="23"/>
      <c r="V903" s="23"/>
      <c r="W903" s="23"/>
      <c r="X903" s="23"/>
      <c r="Y903" s="23"/>
      <c r="Z903" s="23"/>
      <c r="AA903" s="23"/>
      <c r="AB903" s="23"/>
      <c r="AC903" s="23"/>
      <c r="AD903" s="23"/>
      <c r="AE903" s="23"/>
      <c r="AF903" s="23"/>
      <c r="AG903" s="23"/>
      <c r="AH903" s="23"/>
      <c r="AI903" s="23"/>
      <c r="AJ903" s="23"/>
      <c r="AK903" s="23"/>
      <c r="AL903" s="23"/>
      <c r="AM903" s="23"/>
      <c r="AN903" s="23"/>
    </row>
    <row r="904" spans="13:40" x14ac:dyDescent="0.2">
      <c r="M904" s="23"/>
      <c r="N904" s="949"/>
      <c r="O904" s="23"/>
      <c r="R904" s="23"/>
      <c r="S904" s="949"/>
      <c r="T904" s="23"/>
      <c r="U904" s="23"/>
      <c r="V904" s="23"/>
      <c r="W904" s="23"/>
      <c r="X904" s="23"/>
      <c r="Y904" s="23"/>
      <c r="Z904" s="23"/>
      <c r="AA904" s="23"/>
      <c r="AB904" s="23"/>
      <c r="AC904" s="23"/>
      <c r="AD904" s="23"/>
      <c r="AE904" s="23"/>
      <c r="AF904" s="23"/>
      <c r="AG904" s="23"/>
      <c r="AH904" s="23"/>
      <c r="AI904" s="23"/>
      <c r="AJ904" s="23"/>
      <c r="AK904" s="23"/>
      <c r="AL904" s="23"/>
      <c r="AM904" s="23"/>
      <c r="AN904" s="23"/>
    </row>
    <row r="905" spans="13:40" x14ac:dyDescent="0.2">
      <c r="M905" s="23"/>
      <c r="N905" s="949"/>
      <c r="O905" s="23"/>
      <c r="R905" s="23"/>
      <c r="S905" s="949"/>
      <c r="T905" s="23"/>
      <c r="U905" s="23"/>
      <c r="V905" s="23"/>
      <c r="W905" s="23"/>
      <c r="X905" s="23"/>
      <c r="Y905" s="23"/>
      <c r="Z905" s="23"/>
      <c r="AA905" s="23"/>
      <c r="AB905" s="23"/>
      <c r="AC905" s="23"/>
      <c r="AD905" s="23"/>
      <c r="AE905" s="23"/>
      <c r="AF905" s="23"/>
      <c r="AG905" s="23"/>
      <c r="AH905" s="23"/>
      <c r="AI905" s="23"/>
      <c r="AJ905" s="23"/>
      <c r="AK905" s="23"/>
      <c r="AL905" s="23"/>
      <c r="AM905" s="23"/>
      <c r="AN905" s="23"/>
    </row>
    <row r="906" spans="13:40" x14ac:dyDescent="0.2">
      <c r="M906" s="23"/>
      <c r="N906" s="949"/>
      <c r="O906" s="23"/>
      <c r="R906" s="23"/>
      <c r="S906" s="949"/>
      <c r="T906" s="23"/>
      <c r="U906" s="23"/>
      <c r="V906" s="23"/>
      <c r="W906" s="23"/>
      <c r="X906" s="23"/>
      <c r="Y906" s="23"/>
      <c r="Z906" s="23"/>
      <c r="AA906" s="23"/>
      <c r="AB906" s="23"/>
      <c r="AC906" s="23"/>
      <c r="AD906" s="23"/>
      <c r="AE906" s="23"/>
      <c r="AF906" s="23"/>
      <c r="AG906" s="23"/>
      <c r="AH906" s="23"/>
      <c r="AI906" s="23"/>
      <c r="AJ906" s="23"/>
      <c r="AK906" s="23"/>
      <c r="AL906" s="23"/>
      <c r="AM906" s="23"/>
      <c r="AN906" s="23"/>
    </row>
    <row r="907" spans="13:40" x14ac:dyDescent="0.2">
      <c r="M907" s="23"/>
      <c r="N907" s="949"/>
      <c r="O907" s="23"/>
      <c r="R907" s="23"/>
      <c r="S907" s="949"/>
      <c r="T907" s="23"/>
      <c r="U907" s="23"/>
      <c r="V907" s="23"/>
      <c r="W907" s="23"/>
      <c r="X907" s="23"/>
      <c r="Y907" s="23"/>
      <c r="Z907" s="23"/>
      <c r="AA907" s="23"/>
      <c r="AB907" s="23"/>
      <c r="AC907" s="23"/>
      <c r="AD907" s="23"/>
      <c r="AE907" s="23"/>
      <c r="AF907" s="23"/>
      <c r="AG907" s="23"/>
      <c r="AH907" s="23"/>
      <c r="AI907" s="23"/>
      <c r="AJ907" s="23"/>
      <c r="AK907" s="23"/>
      <c r="AL907" s="23"/>
      <c r="AM907" s="23"/>
      <c r="AN907" s="23"/>
    </row>
    <row r="908" spans="13:40" x14ac:dyDescent="0.2">
      <c r="M908" s="23"/>
      <c r="N908" s="949"/>
      <c r="O908" s="23"/>
      <c r="R908" s="23"/>
      <c r="S908" s="949"/>
      <c r="T908" s="23"/>
      <c r="U908" s="23"/>
      <c r="V908" s="23"/>
      <c r="W908" s="23"/>
      <c r="X908" s="23"/>
      <c r="Y908" s="23"/>
      <c r="Z908" s="23"/>
      <c r="AA908" s="23"/>
      <c r="AB908" s="23"/>
      <c r="AC908" s="23"/>
      <c r="AD908" s="23"/>
      <c r="AE908" s="23"/>
      <c r="AF908" s="23"/>
      <c r="AG908" s="23"/>
      <c r="AH908" s="23"/>
      <c r="AI908" s="23"/>
      <c r="AJ908" s="23"/>
      <c r="AK908" s="23"/>
      <c r="AL908" s="23"/>
      <c r="AM908" s="23"/>
      <c r="AN908" s="23"/>
    </row>
    <row r="909" spans="13:40" x14ac:dyDescent="0.2">
      <c r="M909" s="23"/>
      <c r="N909" s="949"/>
      <c r="O909" s="23"/>
      <c r="R909" s="23"/>
      <c r="S909" s="949"/>
      <c r="T909" s="23"/>
      <c r="U909" s="23"/>
      <c r="V909" s="23"/>
      <c r="W909" s="23"/>
      <c r="X909" s="23"/>
      <c r="Y909" s="23"/>
      <c r="Z909" s="23"/>
      <c r="AA909" s="23"/>
      <c r="AB909" s="23"/>
      <c r="AC909" s="23"/>
      <c r="AD909" s="23"/>
      <c r="AE909" s="23"/>
      <c r="AF909" s="23"/>
      <c r="AG909" s="23"/>
      <c r="AH909" s="23"/>
      <c r="AI909" s="23"/>
      <c r="AJ909" s="23"/>
      <c r="AK909" s="23"/>
      <c r="AL909" s="23"/>
      <c r="AM909" s="23"/>
      <c r="AN909" s="23"/>
    </row>
    <row r="910" spans="13:40" x14ac:dyDescent="0.2">
      <c r="M910" s="23"/>
      <c r="N910" s="949"/>
      <c r="O910" s="23"/>
      <c r="R910" s="23"/>
      <c r="S910" s="949"/>
      <c r="T910" s="23"/>
      <c r="U910" s="23"/>
      <c r="V910" s="23"/>
      <c r="W910" s="23"/>
      <c r="X910" s="23"/>
      <c r="Y910" s="23"/>
      <c r="Z910" s="23"/>
      <c r="AA910" s="23"/>
      <c r="AB910" s="23"/>
      <c r="AC910" s="23"/>
      <c r="AD910" s="23"/>
      <c r="AE910" s="23"/>
      <c r="AF910" s="23"/>
      <c r="AG910" s="23"/>
      <c r="AH910" s="23"/>
      <c r="AI910" s="23"/>
      <c r="AJ910" s="23"/>
      <c r="AK910" s="23"/>
      <c r="AL910" s="23"/>
      <c r="AM910" s="23"/>
      <c r="AN910" s="23"/>
    </row>
    <row r="911" spans="13:40" x14ac:dyDescent="0.2">
      <c r="M911" s="23"/>
      <c r="N911" s="949"/>
      <c r="O911" s="23"/>
      <c r="R911" s="23"/>
      <c r="S911" s="949"/>
      <c r="T911" s="23"/>
      <c r="U911" s="23"/>
      <c r="V911" s="23"/>
      <c r="W911" s="23"/>
      <c r="X911" s="23"/>
      <c r="Y911" s="23"/>
      <c r="Z911" s="23"/>
      <c r="AA911" s="23"/>
      <c r="AB911" s="23"/>
      <c r="AC911" s="23"/>
      <c r="AD911" s="23"/>
      <c r="AE911" s="23"/>
      <c r="AF911" s="23"/>
      <c r="AG911" s="23"/>
      <c r="AH911" s="23"/>
      <c r="AI911" s="23"/>
      <c r="AJ911" s="23"/>
      <c r="AK911" s="23"/>
      <c r="AL911" s="23"/>
      <c r="AM911" s="23"/>
      <c r="AN911" s="23"/>
    </row>
    <row r="912" spans="13:40" x14ac:dyDescent="0.2">
      <c r="M912" s="23"/>
      <c r="N912" s="949"/>
      <c r="O912" s="23"/>
      <c r="R912" s="23"/>
      <c r="S912" s="949"/>
      <c r="T912" s="23"/>
      <c r="U912" s="23"/>
      <c r="V912" s="23"/>
      <c r="W912" s="23"/>
      <c r="X912" s="23"/>
      <c r="Y912" s="23"/>
      <c r="Z912" s="23"/>
      <c r="AA912" s="23"/>
      <c r="AB912" s="23"/>
      <c r="AC912" s="23"/>
      <c r="AD912" s="23"/>
      <c r="AE912" s="23"/>
      <c r="AF912" s="23"/>
      <c r="AG912" s="23"/>
      <c r="AH912" s="23"/>
      <c r="AI912" s="23"/>
      <c r="AJ912" s="23"/>
      <c r="AK912" s="23"/>
      <c r="AL912" s="23"/>
      <c r="AM912" s="23"/>
      <c r="AN912" s="23"/>
    </row>
    <row r="913" spans="13:40" x14ac:dyDescent="0.2">
      <c r="M913" s="23"/>
      <c r="N913" s="949"/>
      <c r="O913" s="23"/>
      <c r="R913" s="23"/>
      <c r="S913" s="949"/>
      <c r="T913" s="23"/>
      <c r="U913" s="23"/>
      <c r="V913" s="23"/>
      <c r="W913" s="23"/>
      <c r="X913" s="23"/>
      <c r="Y913" s="23"/>
      <c r="Z913" s="23"/>
      <c r="AA913" s="23"/>
      <c r="AB913" s="23"/>
      <c r="AC913" s="23"/>
      <c r="AD913" s="23"/>
      <c r="AE913" s="23"/>
      <c r="AF913" s="23"/>
      <c r="AG913" s="23"/>
      <c r="AH913" s="23"/>
      <c r="AI913" s="23"/>
      <c r="AJ913" s="23"/>
      <c r="AK913" s="23"/>
      <c r="AL913" s="23"/>
      <c r="AM913" s="23"/>
      <c r="AN913" s="23"/>
    </row>
    <row r="914" spans="13:40" x14ac:dyDescent="0.2">
      <c r="M914" s="23"/>
      <c r="N914" s="949"/>
      <c r="O914" s="23"/>
      <c r="R914" s="23"/>
      <c r="S914" s="949"/>
      <c r="T914" s="23"/>
      <c r="U914" s="23"/>
      <c r="V914" s="23"/>
      <c r="W914" s="23"/>
      <c r="X914" s="23"/>
      <c r="Y914" s="23"/>
      <c r="Z914" s="23"/>
      <c r="AA914" s="23"/>
      <c r="AB914" s="23"/>
      <c r="AC914" s="23"/>
      <c r="AD914" s="23"/>
      <c r="AE914" s="23"/>
      <c r="AF914" s="23"/>
      <c r="AG914" s="23"/>
      <c r="AH914" s="23"/>
      <c r="AI914" s="23"/>
      <c r="AJ914" s="23"/>
      <c r="AK914" s="23"/>
      <c r="AL914" s="23"/>
      <c r="AM914" s="23"/>
      <c r="AN914" s="23"/>
    </row>
    <row r="915" spans="13:40" x14ac:dyDescent="0.2">
      <c r="M915" s="23"/>
      <c r="N915" s="949"/>
      <c r="O915" s="23"/>
      <c r="R915" s="23"/>
      <c r="S915" s="949"/>
      <c r="T915" s="23"/>
      <c r="U915" s="23"/>
      <c r="V915" s="23"/>
      <c r="W915" s="23"/>
      <c r="X915" s="23"/>
      <c r="Y915" s="23"/>
      <c r="Z915" s="23"/>
      <c r="AA915" s="23"/>
      <c r="AB915" s="23"/>
      <c r="AC915" s="23"/>
      <c r="AD915" s="23"/>
      <c r="AE915" s="23"/>
      <c r="AF915" s="23"/>
      <c r="AG915" s="23"/>
      <c r="AH915" s="23"/>
      <c r="AI915" s="23"/>
      <c r="AJ915" s="23"/>
      <c r="AK915" s="23"/>
      <c r="AL915" s="23"/>
      <c r="AM915" s="23"/>
      <c r="AN915" s="23"/>
    </row>
    <row r="916" spans="13:40" x14ac:dyDescent="0.2">
      <c r="M916" s="23"/>
      <c r="N916" s="949"/>
      <c r="O916" s="23"/>
      <c r="R916" s="23"/>
      <c r="S916" s="949"/>
      <c r="T916" s="23"/>
      <c r="U916" s="23"/>
      <c r="V916" s="23"/>
      <c r="W916" s="23"/>
      <c r="X916" s="23"/>
      <c r="Y916" s="23"/>
      <c r="Z916" s="23"/>
      <c r="AA916" s="23"/>
      <c r="AB916" s="23"/>
      <c r="AC916" s="23"/>
      <c r="AD916" s="23"/>
      <c r="AE916" s="23"/>
      <c r="AF916" s="23"/>
      <c r="AG916" s="23"/>
      <c r="AH916" s="23"/>
      <c r="AI916" s="23"/>
      <c r="AJ916" s="23"/>
      <c r="AK916" s="23"/>
      <c r="AL916" s="23"/>
      <c r="AM916" s="23"/>
      <c r="AN916" s="23"/>
    </row>
    <row r="917" spans="13:40" x14ac:dyDescent="0.2">
      <c r="M917" s="23"/>
      <c r="N917" s="949"/>
      <c r="O917" s="23"/>
      <c r="R917" s="23"/>
      <c r="S917" s="949"/>
      <c r="T917" s="23"/>
      <c r="U917" s="23"/>
      <c r="V917" s="23"/>
      <c r="W917" s="23"/>
      <c r="X917" s="23"/>
      <c r="Y917" s="23"/>
      <c r="Z917" s="23"/>
      <c r="AA917" s="23"/>
      <c r="AB917" s="23"/>
      <c r="AC917" s="23"/>
      <c r="AD917" s="23"/>
      <c r="AE917" s="23"/>
      <c r="AF917" s="23"/>
      <c r="AG917" s="23"/>
      <c r="AH917" s="23"/>
      <c r="AI917" s="23"/>
      <c r="AJ917" s="23"/>
      <c r="AK917" s="23"/>
      <c r="AL917" s="23"/>
      <c r="AM917" s="23"/>
      <c r="AN917" s="23"/>
    </row>
    <row r="918" spans="13:40" x14ac:dyDescent="0.2">
      <c r="M918" s="23"/>
      <c r="N918" s="949"/>
      <c r="O918" s="23"/>
      <c r="R918" s="23"/>
      <c r="S918" s="949"/>
      <c r="T918" s="23"/>
      <c r="U918" s="23"/>
      <c r="V918" s="23"/>
      <c r="W918" s="23"/>
      <c r="X918" s="23"/>
      <c r="Y918" s="23"/>
      <c r="Z918" s="23"/>
      <c r="AA918" s="23"/>
      <c r="AB918" s="23"/>
      <c r="AC918" s="23"/>
      <c r="AD918" s="23"/>
      <c r="AE918" s="23"/>
      <c r="AF918" s="23"/>
      <c r="AG918" s="23"/>
      <c r="AH918" s="23"/>
      <c r="AI918" s="23"/>
      <c r="AJ918" s="23"/>
      <c r="AK918" s="23"/>
      <c r="AL918" s="23"/>
      <c r="AM918" s="23"/>
      <c r="AN918" s="23"/>
    </row>
    <row r="919" spans="13:40" x14ac:dyDescent="0.2">
      <c r="M919" s="23"/>
      <c r="N919" s="949"/>
      <c r="O919" s="23"/>
      <c r="R919" s="23"/>
      <c r="S919" s="949"/>
      <c r="T919" s="23"/>
      <c r="U919" s="23"/>
      <c r="V919" s="23"/>
      <c r="W919" s="23"/>
      <c r="X919" s="23"/>
      <c r="Y919" s="23"/>
      <c r="Z919" s="23"/>
      <c r="AA919" s="23"/>
      <c r="AB919" s="23"/>
      <c r="AC919" s="23"/>
      <c r="AD919" s="23"/>
      <c r="AE919" s="23"/>
      <c r="AF919" s="23"/>
      <c r="AG919" s="23"/>
      <c r="AH919" s="23"/>
      <c r="AI919" s="23"/>
      <c r="AJ919" s="23"/>
      <c r="AK919" s="23"/>
      <c r="AL919" s="23"/>
      <c r="AM919" s="23"/>
      <c r="AN919" s="23"/>
    </row>
    <row r="920" spans="13:40" x14ac:dyDescent="0.2">
      <c r="M920" s="23"/>
      <c r="N920" s="949"/>
      <c r="O920" s="23"/>
      <c r="R920" s="23"/>
      <c r="S920" s="949"/>
      <c r="T920" s="23"/>
      <c r="U920" s="23"/>
      <c r="V920" s="23"/>
      <c r="W920" s="23"/>
      <c r="X920" s="23"/>
      <c r="Y920" s="23"/>
      <c r="Z920" s="23"/>
      <c r="AA920" s="23"/>
      <c r="AB920" s="23"/>
      <c r="AC920" s="23"/>
      <c r="AD920" s="23"/>
      <c r="AE920" s="23"/>
      <c r="AF920" s="23"/>
      <c r="AG920" s="23"/>
      <c r="AH920" s="23"/>
      <c r="AI920" s="23"/>
      <c r="AJ920" s="23"/>
      <c r="AK920" s="23"/>
      <c r="AL920" s="23"/>
      <c r="AM920" s="23"/>
      <c r="AN920" s="23"/>
    </row>
    <row r="921" spans="13:40" x14ac:dyDescent="0.2">
      <c r="M921" s="23"/>
      <c r="N921" s="949"/>
      <c r="O921" s="23"/>
      <c r="R921" s="23"/>
      <c r="S921" s="949"/>
      <c r="T921" s="23"/>
      <c r="U921" s="23"/>
      <c r="V921" s="23"/>
      <c r="W921" s="23"/>
      <c r="X921" s="23"/>
      <c r="Y921" s="23"/>
      <c r="Z921" s="23"/>
      <c r="AA921" s="23"/>
      <c r="AB921" s="23"/>
      <c r="AC921" s="23"/>
      <c r="AD921" s="23"/>
      <c r="AE921" s="23"/>
      <c r="AF921" s="23"/>
      <c r="AG921" s="23"/>
      <c r="AH921" s="23"/>
      <c r="AI921" s="23"/>
      <c r="AJ921" s="23"/>
      <c r="AK921" s="23"/>
      <c r="AL921" s="23"/>
      <c r="AM921" s="23"/>
      <c r="AN921" s="23"/>
    </row>
    <row r="922" spans="13:40" x14ac:dyDescent="0.2">
      <c r="M922" s="23"/>
      <c r="N922" s="949"/>
      <c r="O922" s="23"/>
      <c r="R922" s="23"/>
      <c r="S922" s="949"/>
      <c r="T922" s="23"/>
      <c r="U922" s="23"/>
      <c r="V922" s="23"/>
      <c r="W922" s="23"/>
      <c r="X922" s="23"/>
      <c r="Y922" s="23"/>
      <c r="Z922" s="23"/>
      <c r="AA922" s="23"/>
      <c r="AB922" s="23"/>
      <c r="AC922" s="23"/>
      <c r="AD922" s="23"/>
      <c r="AE922" s="23"/>
      <c r="AF922" s="23"/>
      <c r="AG922" s="23"/>
      <c r="AH922" s="23"/>
      <c r="AI922" s="23"/>
      <c r="AJ922" s="23"/>
      <c r="AK922" s="23"/>
      <c r="AL922" s="23"/>
      <c r="AM922" s="23"/>
      <c r="AN922" s="23"/>
    </row>
    <row r="923" spans="13:40" x14ac:dyDescent="0.2">
      <c r="M923" s="23"/>
      <c r="N923" s="949"/>
      <c r="O923" s="23"/>
      <c r="R923" s="23"/>
      <c r="S923" s="949"/>
      <c r="T923" s="23"/>
      <c r="U923" s="23"/>
      <c r="V923" s="23"/>
      <c r="W923" s="23"/>
      <c r="X923" s="23"/>
      <c r="Y923" s="23"/>
      <c r="Z923" s="23"/>
      <c r="AA923" s="23"/>
      <c r="AB923" s="23"/>
      <c r="AC923" s="23"/>
      <c r="AD923" s="23"/>
      <c r="AE923" s="23"/>
      <c r="AF923" s="23"/>
      <c r="AG923" s="23"/>
      <c r="AH923" s="23"/>
      <c r="AI923" s="23"/>
      <c r="AJ923" s="23"/>
      <c r="AK923" s="23"/>
      <c r="AL923" s="23"/>
      <c r="AM923" s="23"/>
      <c r="AN923" s="23"/>
    </row>
    <row r="924" spans="13:40" x14ac:dyDescent="0.2">
      <c r="M924" s="23"/>
      <c r="N924" s="949"/>
      <c r="O924" s="23"/>
      <c r="R924" s="23"/>
      <c r="S924" s="949"/>
      <c r="T924" s="23"/>
      <c r="U924" s="23"/>
      <c r="V924" s="23"/>
      <c r="W924" s="23"/>
      <c r="X924" s="23"/>
      <c r="Y924" s="23"/>
      <c r="Z924" s="23"/>
      <c r="AA924" s="23"/>
      <c r="AB924" s="23"/>
      <c r="AC924" s="23"/>
      <c r="AD924" s="23"/>
      <c r="AE924" s="23"/>
      <c r="AF924" s="23"/>
      <c r="AG924" s="23"/>
      <c r="AH924" s="23"/>
      <c r="AI924" s="23"/>
      <c r="AJ924" s="23"/>
      <c r="AK924" s="23"/>
      <c r="AL924" s="23"/>
      <c r="AM924" s="23"/>
      <c r="AN924" s="23"/>
    </row>
    <row r="925" spans="13:40" x14ac:dyDescent="0.2">
      <c r="M925" s="23"/>
      <c r="N925" s="949"/>
      <c r="O925" s="23"/>
      <c r="R925" s="23"/>
      <c r="S925" s="949"/>
      <c r="T925" s="23"/>
      <c r="U925" s="23"/>
      <c r="V925" s="23"/>
      <c r="W925" s="23"/>
      <c r="X925" s="23"/>
      <c r="Y925" s="23"/>
      <c r="Z925" s="23"/>
      <c r="AA925" s="23"/>
      <c r="AB925" s="23"/>
      <c r="AC925" s="23"/>
      <c r="AD925" s="23"/>
      <c r="AE925" s="23"/>
      <c r="AF925" s="23"/>
      <c r="AG925" s="23"/>
      <c r="AH925" s="23"/>
      <c r="AI925" s="23"/>
      <c r="AJ925" s="23"/>
      <c r="AK925" s="23"/>
      <c r="AL925" s="23"/>
      <c r="AM925" s="23"/>
      <c r="AN925" s="23"/>
    </row>
    <row r="926" spans="13:40" x14ac:dyDescent="0.2">
      <c r="M926" s="23"/>
      <c r="N926" s="949"/>
      <c r="O926" s="23"/>
      <c r="R926" s="23"/>
      <c r="S926" s="949"/>
      <c r="T926" s="23"/>
      <c r="U926" s="23"/>
      <c r="V926" s="23"/>
      <c r="W926" s="23"/>
      <c r="X926" s="23"/>
      <c r="Y926" s="23"/>
      <c r="Z926" s="23"/>
      <c r="AA926" s="23"/>
      <c r="AB926" s="23"/>
      <c r="AC926" s="23"/>
      <c r="AD926" s="23"/>
      <c r="AE926" s="23"/>
      <c r="AF926" s="23"/>
      <c r="AG926" s="23"/>
      <c r="AH926" s="23"/>
      <c r="AI926" s="23"/>
      <c r="AJ926" s="23"/>
      <c r="AK926" s="23"/>
      <c r="AL926" s="23"/>
      <c r="AM926" s="23"/>
      <c r="AN926" s="23"/>
    </row>
    <row r="927" spans="13:40" x14ac:dyDescent="0.2">
      <c r="M927" s="23"/>
      <c r="N927" s="949"/>
      <c r="O927" s="23"/>
      <c r="R927" s="23"/>
      <c r="S927" s="949"/>
      <c r="T927" s="23"/>
      <c r="U927" s="23"/>
      <c r="V927" s="23"/>
      <c r="W927" s="23"/>
      <c r="X927" s="23"/>
      <c r="Y927" s="23"/>
      <c r="Z927" s="23"/>
      <c r="AA927" s="23"/>
      <c r="AB927" s="23"/>
      <c r="AC927" s="23"/>
      <c r="AD927" s="23"/>
      <c r="AE927" s="23"/>
      <c r="AF927" s="23"/>
      <c r="AG927" s="23"/>
      <c r="AH927" s="23"/>
      <c r="AI927" s="23"/>
      <c r="AJ927" s="23"/>
      <c r="AK927" s="23"/>
      <c r="AL927" s="23"/>
      <c r="AM927" s="23"/>
      <c r="AN927" s="23"/>
    </row>
    <row r="928" spans="13:40" x14ac:dyDescent="0.2">
      <c r="M928" s="23"/>
      <c r="N928" s="949"/>
      <c r="O928" s="23"/>
      <c r="R928" s="23"/>
      <c r="S928" s="949"/>
      <c r="T928" s="23"/>
      <c r="U928" s="23"/>
      <c r="V928" s="23"/>
      <c r="W928" s="23"/>
      <c r="X928" s="23"/>
      <c r="Y928" s="23"/>
      <c r="Z928" s="23"/>
      <c r="AA928" s="23"/>
      <c r="AB928" s="23"/>
      <c r="AC928" s="23"/>
      <c r="AD928" s="23"/>
      <c r="AE928" s="23"/>
      <c r="AF928" s="23"/>
      <c r="AG928" s="23"/>
      <c r="AH928" s="23"/>
      <c r="AI928" s="23"/>
      <c r="AJ928" s="23"/>
      <c r="AK928" s="23"/>
      <c r="AL928" s="23"/>
      <c r="AM928" s="23"/>
      <c r="AN928" s="23"/>
    </row>
    <row r="929" spans="13:40" x14ac:dyDescent="0.2">
      <c r="M929" s="23"/>
      <c r="N929" s="949"/>
      <c r="O929" s="23"/>
      <c r="R929" s="23"/>
      <c r="S929" s="949"/>
      <c r="T929" s="23"/>
      <c r="U929" s="23"/>
      <c r="V929" s="23"/>
      <c r="W929" s="23"/>
      <c r="X929" s="23"/>
      <c r="Y929" s="23"/>
      <c r="Z929" s="23"/>
      <c r="AA929" s="23"/>
      <c r="AB929" s="23"/>
      <c r="AC929" s="23"/>
      <c r="AD929" s="23"/>
      <c r="AE929" s="23"/>
      <c r="AF929" s="23"/>
      <c r="AG929" s="23"/>
      <c r="AH929" s="23"/>
      <c r="AI929" s="23"/>
      <c r="AJ929" s="23"/>
      <c r="AK929" s="23"/>
      <c r="AL929" s="23"/>
      <c r="AM929" s="23"/>
      <c r="AN929" s="23"/>
    </row>
    <row r="930" spans="13:40" x14ac:dyDescent="0.2">
      <c r="M930" s="23"/>
      <c r="N930" s="949"/>
      <c r="O930" s="23"/>
      <c r="R930" s="23"/>
      <c r="S930" s="949"/>
      <c r="T930" s="23"/>
      <c r="U930" s="23"/>
      <c r="V930" s="23"/>
      <c r="W930" s="23"/>
      <c r="X930" s="23"/>
      <c r="Y930" s="23"/>
      <c r="Z930" s="23"/>
      <c r="AA930" s="23"/>
      <c r="AB930" s="23"/>
      <c r="AC930" s="23"/>
      <c r="AD930" s="23"/>
      <c r="AE930" s="23"/>
      <c r="AF930" s="23"/>
      <c r="AG930" s="23"/>
      <c r="AH930" s="23"/>
      <c r="AI930" s="23"/>
      <c r="AJ930" s="23"/>
      <c r="AK930" s="23"/>
      <c r="AL930" s="23"/>
      <c r="AM930" s="23"/>
      <c r="AN930" s="23"/>
    </row>
    <row r="931" spans="13:40" x14ac:dyDescent="0.2">
      <c r="M931" s="23"/>
      <c r="N931" s="949"/>
      <c r="O931" s="23"/>
      <c r="R931" s="23"/>
      <c r="S931" s="949"/>
      <c r="T931" s="23"/>
      <c r="U931" s="23"/>
      <c r="V931" s="23"/>
      <c r="W931" s="23"/>
      <c r="X931" s="23"/>
      <c r="Y931" s="23"/>
      <c r="Z931" s="23"/>
      <c r="AA931" s="23"/>
      <c r="AB931" s="23"/>
      <c r="AC931" s="23"/>
      <c r="AD931" s="23"/>
      <c r="AE931" s="23"/>
      <c r="AF931" s="23"/>
      <c r="AG931" s="23"/>
      <c r="AH931" s="23"/>
      <c r="AI931" s="23"/>
      <c r="AJ931" s="23"/>
      <c r="AK931" s="23"/>
      <c r="AL931" s="23"/>
      <c r="AM931" s="23"/>
      <c r="AN931" s="23"/>
    </row>
    <row r="932" spans="13:40" x14ac:dyDescent="0.2">
      <c r="M932" s="23"/>
      <c r="N932" s="949"/>
      <c r="O932" s="23"/>
      <c r="R932" s="23"/>
      <c r="S932" s="949"/>
      <c r="T932" s="23"/>
      <c r="U932" s="23"/>
      <c r="V932" s="23"/>
      <c r="W932" s="23"/>
      <c r="X932" s="23"/>
      <c r="Y932" s="23"/>
      <c r="Z932" s="23"/>
      <c r="AA932" s="23"/>
      <c r="AB932" s="23"/>
      <c r="AC932" s="23"/>
      <c r="AD932" s="23"/>
      <c r="AE932" s="23"/>
      <c r="AF932" s="23"/>
      <c r="AG932" s="23"/>
      <c r="AH932" s="23"/>
      <c r="AI932" s="23"/>
      <c r="AJ932" s="23"/>
      <c r="AK932" s="23"/>
      <c r="AL932" s="23"/>
      <c r="AM932" s="23"/>
      <c r="AN932" s="23"/>
    </row>
    <row r="933" spans="13:40" x14ac:dyDescent="0.2">
      <c r="M933" s="23"/>
      <c r="N933" s="949"/>
      <c r="O933" s="23"/>
      <c r="R933" s="23"/>
      <c r="S933" s="949"/>
      <c r="T933" s="23"/>
      <c r="U933" s="23"/>
      <c r="V933" s="23"/>
      <c r="W933" s="23"/>
      <c r="X933" s="23"/>
      <c r="Y933" s="23"/>
      <c r="Z933" s="23"/>
      <c r="AA933" s="23"/>
      <c r="AB933" s="23"/>
      <c r="AC933" s="23"/>
      <c r="AD933" s="23"/>
      <c r="AE933" s="23"/>
      <c r="AF933" s="23"/>
      <c r="AG933" s="23"/>
      <c r="AH933" s="23"/>
      <c r="AI933" s="23"/>
      <c r="AJ933" s="23"/>
      <c r="AK933" s="23"/>
      <c r="AL933" s="23"/>
      <c r="AM933" s="23"/>
      <c r="AN933" s="23"/>
    </row>
    <row r="934" spans="13:40" x14ac:dyDescent="0.2">
      <c r="M934" s="23"/>
      <c r="N934" s="949"/>
      <c r="O934" s="23"/>
      <c r="R934" s="23"/>
      <c r="S934" s="949"/>
      <c r="T934" s="23"/>
      <c r="U934" s="23"/>
      <c r="V934" s="23"/>
      <c r="W934" s="23"/>
      <c r="X934" s="23"/>
      <c r="Y934" s="23"/>
      <c r="Z934" s="23"/>
      <c r="AA934" s="23"/>
      <c r="AB934" s="23"/>
      <c r="AC934" s="23"/>
      <c r="AD934" s="23"/>
      <c r="AE934" s="23"/>
      <c r="AF934" s="23"/>
      <c r="AG934" s="23"/>
      <c r="AH934" s="23"/>
      <c r="AI934" s="23"/>
      <c r="AJ934" s="23"/>
      <c r="AK934" s="23"/>
      <c r="AL934" s="23"/>
      <c r="AM934" s="23"/>
      <c r="AN934" s="23"/>
    </row>
    <row r="935" spans="13:40" x14ac:dyDescent="0.2">
      <c r="M935" s="23"/>
      <c r="N935" s="949"/>
      <c r="O935" s="23"/>
      <c r="R935" s="23"/>
      <c r="S935" s="949"/>
      <c r="T935" s="23"/>
      <c r="U935" s="23"/>
      <c r="V935" s="23"/>
      <c r="W935" s="23"/>
      <c r="X935" s="23"/>
      <c r="Y935" s="23"/>
      <c r="Z935" s="23"/>
      <c r="AA935" s="23"/>
      <c r="AB935" s="23"/>
      <c r="AC935" s="23"/>
      <c r="AD935" s="23"/>
      <c r="AE935" s="23"/>
      <c r="AF935" s="23"/>
      <c r="AG935" s="23"/>
      <c r="AH935" s="23"/>
      <c r="AI935" s="23"/>
      <c r="AJ935" s="23"/>
      <c r="AK935" s="23"/>
      <c r="AL935" s="23"/>
      <c r="AM935" s="23"/>
      <c r="AN935" s="23"/>
    </row>
    <row r="936" spans="13:40" x14ac:dyDescent="0.2">
      <c r="M936" s="23"/>
      <c r="N936" s="949"/>
      <c r="O936" s="23"/>
      <c r="R936" s="23"/>
      <c r="S936" s="949"/>
      <c r="T936" s="23"/>
      <c r="U936" s="23"/>
      <c r="V936" s="23"/>
      <c r="W936" s="23"/>
      <c r="X936" s="23"/>
      <c r="Y936" s="23"/>
      <c r="Z936" s="23"/>
      <c r="AA936" s="23"/>
      <c r="AB936" s="23"/>
      <c r="AC936" s="23"/>
      <c r="AD936" s="23"/>
      <c r="AE936" s="23"/>
      <c r="AF936" s="23"/>
      <c r="AG936" s="23"/>
      <c r="AH936" s="23"/>
      <c r="AI936" s="23"/>
      <c r="AJ936" s="23"/>
      <c r="AK936" s="23"/>
      <c r="AL936" s="23"/>
      <c r="AM936" s="23"/>
      <c r="AN936" s="23"/>
    </row>
    <row r="937" spans="13:40" x14ac:dyDescent="0.2">
      <c r="M937" s="23"/>
      <c r="N937" s="949"/>
      <c r="O937" s="23"/>
      <c r="R937" s="23"/>
      <c r="S937" s="949"/>
      <c r="T937" s="23"/>
      <c r="U937" s="23"/>
      <c r="V937" s="23"/>
      <c r="W937" s="23"/>
      <c r="X937" s="23"/>
      <c r="Y937" s="23"/>
      <c r="Z937" s="23"/>
      <c r="AA937" s="23"/>
      <c r="AB937" s="23"/>
      <c r="AC937" s="23"/>
      <c r="AD937" s="23"/>
      <c r="AE937" s="23"/>
      <c r="AF937" s="23"/>
      <c r="AG937" s="23"/>
      <c r="AH937" s="23"/>
      <c r="AI937" s="23"/>
      <c r="AJ937" s="23"/>
      <c r="AK937" s="23"/>
      <c r="AL937" s="23"/>
      <c r="AM937" s="23"/>
      <c r="AN937" s="23"/>
    </row>
    <row r="938" spans="13:40" x14ac:dyDescent="0.2">
      <c r="M938" s="23"/>
      <c r="N938" s="949"/>
      <c r="O938" s="23"/>
      <c r="R938" s="23"/>
      <c r="S938" s="949"/>
      <c r="T938" s="23"/>
      <c r="U938" s="23"/>
      <c r="V938" s="23"/>
      <c r="W938" s="23"/>
      <c r="X938" s="23"/>
      <c r="Y938" s="23"/>
      <c r="Z938" s="23"/>
      <c r="AA938" s="23"/>
      <c r="AB938" s="23"/>
      <c r="AC938" s="23"/>
      <c r="AD938" s="23"/>
      <c r="AE938" s="23"/>
      <c r="AF938" s="23"/>
      <c r="AG938" s="23"/>
      <c r="AH938" s="23"/>
      <c r="AI938" s="23"/>
      <c r="AJ938" s="23"/>
      <c r="AK938" s="23"/>
      <c r="AL938" s="23"/>
      <c r="AM938" s="23"/>
      <c r="AN938" s="23"/>
    </row>
    <row r="939" spans="13:40" x14ac:dyDescent="0.2">
      <c r="M939" s="23"/>
      <c r="N939" s="949"/>
      <c r="O939" s="23"/>
      <c r="R939" s="23"/>
      <c r="S939" s="949"/>
      <c r="T939" s="23"/>
      <c r="U939" s="23"/>
      <c r="V939" s="23"/>
      <c r="W939" s="23"/>
      <c r="X939" s="23"/>
      <c r="Y939" s="23"/>
      <c r="Z939" s="23"/>
      <c r="AA939" s="23"/>
      <c r="AB939" s="23"/>
      <c r="AC939" s="23"/>
      <c r="AD939" s="23"/>
      <c r="AE939" s="23"/>
      <c r="AF939" s="23"/>
      <c r="AG939" s="23"/>
      <c r="AH939" s="23"/>
      <c r="AI939" s="23"/>
      <c r="AJ939" s="23"/>
      <c r="AK939" s="23"/>
      <c r="AL939" s="23"/>
      <c r="AM939" s="23"/>
      <c r="AN939" s="23"/>
    </row>
    <row r="940" spans="13:40" x14ac:dyDescent="0.2">
      <c r="M940" s="23"/>
      <c r="N940" s="949"/>
      <c r="O940" s="23"/>
      <c r="R940" s="23"/>
      <c r="S940" s="949"/>
      <c r="T940" s="23"/>
      <c r="U940" s="23"/>
      <c r="V940" s="23"/>
      <c r="W940" s="23"/>
      <c r="X940" s="23"/>
      <c r="Y940" s="23"/>
      <c r="Z940" s="23"/>
      <c r="AA940" s="23"/>
      <c r="AB940" s="23"/>
      <c r="AC940" s="23"/>
      <c r="AD940" s="23"/>
      <c r="AE940" s="23"/>
      <c r="AF940" s="23"/>
      <c r="AG940" s="23"/>
      <c r="AH940" s="23"/>
      <c r="AI940" s="23"/>
      <c r="AJ940" s="23"/>
      <c r="AK940" s="23"/>
      <c r="AL940" s="23"/>
      <c r="AM940" s="23"/>
      <c r="AN940" s="23"/>
    </row>
    <row r="941" spans="13:40" x14ac:dyDescent="0.2">
      <c r="M941" s="23"/>
      <c r="N941" s="949"/>
      <c r="O941" s="23"/>
      <c r="R941" s="23"/>
      <c r="S941" s="949"/>
      <c r="T941" s="23"/>
      <c r="U941" s="23"/>
      <c r="V941" s="23"/>
      <c r="W941" s="23"/>
      <c r="X941" s="23"/>
      <c r="Y941" s="23"/>
      <c r="Z941" s="23"/>
      <c r="AA941" s="23"/>
      <c r="AB941" s="23"/>
      <c r="AC941" s="23"/>
      <c r="AD941" s="23"/>
      <c r="AE941" s="23"/>
      <c r="AF941" s="23"/>
      <c r="AG941" s="23"/>
      <c r="AH941" s="23"/>
      <c r="AI941" s="23"/>
      <c r="AJ941" s="23"/>
      <c r="AK941" s="23"/>
      <c r="AL941" s="23"/>
      <c r="AM941" s="23"/>
      <c r="AN941" s="23"/>
    </row>
    <row r="942" spans="13:40" x14ac:dyDescent="0.2">
      <c r="M942" s="23"/>
      <c r="N942" s="949"/>
      <c r="O942" s="23"/>
      <c r="R942" s="23"/>
      <c r="S942" s="949"/>
      <c r="T942" s="23"/>
      <c r="U942" s="23"/>
      <c r="V942" s="23"/>
      <c r="W942" s="23"/>
      <c r="X942" s="23"/>
      <c r="Y942" s="23"/>
      <c r="Z942" s="23"/>
      <c r="AA942" s="23"/>
      <c r="AB942" s="23"/>
      <c r="AC942" s="23"/>
      <c r="AD942" s="23"/>
      <c r="AE942" s="23"/>
      <c r="AF942" s="23"/>
      <c r="AG942" s="23"/>
      <c r="AH942" s="23"/>
      <c r="AI942" s="23"/>
      <c r="AJ942" s="23"/>
      <c r="AK942" s="23"/>
      <c r="AL942" s="23"/>
      <c r="AM942" s="23"/>
      <c r="AN942" s="23"/>
    </row>
    <row r="943" spans="13:40" x14ac:dyDescent="0.2">
      <c r="M943" s="23"/>
      <c r="N943" s="949"/>
      <c r="O943" s="23"/>
      <c r="R943" s="23"/>
      <c r="S943" s="949"/>
      <c r="T943" s="23"/>
      <c r="U943" s="23"/>
      <c r="V943" s="23"/>
      <c r="W943" s="23"/>
      <c r="X943" s="23"/>
      <c r="Y943" s="23"/>
      <c r="Z943" s="23"/>
      <c r="AA943" s="23"/>
      <c r="AB943" s="23"/>
      <c r="AC943" s="23"/>
      <c r="AD943" s="23"/>
      <c r="AE943" s="23"/>
      <c r="AF943" s="23"/>
      <c r="AG943" s="23"/>
      <c r="AH943" s="23"/>
      <c r="AI943" s="23"/>
      <c r="AJ943" s="23"/>
      <c r="AK943" s="23"/>
      <c r="AL943" s="23"/>
      <c r="AM943" s="23"/>
      <c r="AN943" s="23"/>
    </row>
    <row r="944" spans="13:40" x14ac:dyDescent="0.2">
      <c r="M944" s="23"/>
      <c r="N944" s="949"/>
      <c r="O944" s="23"/>
      <c r="R944" s="23"/>
      <c r="S944" s="949"/>
      <c r="T944" s="23"/>
      <c r="U944" s="23"/>
      <c r="V944" s="23"/>
      <c r="W944" s="23"/>
      <c r="X944" s="23"/>
      <c r="Y944" s="23"/>
      <c r="Z944" s="23"/>
      <c r="AA944" s="23"/>
      <c r="AB944" s="23"/>
      <c r="AC944" s="23"/>
      <c r="AD944" s="23"/>
      <c r="AE944" s="23"/>
      <c r="AF944" s="23"/>
      <c r="AG944" s="23"/>
      <c r="AH944" s="23"/>
      <c r="AI944" s="23"/>
      <c r="AJ944" s="23"/>
      <c r="AK944" s="23"/>
      <c r="AL944" s="23"/>
      <c r="AM944" s="23"/>
      <c r="AN944" s="23"/>
    </row>
    <row r="945" spans="13:40" x14ac:dyDescent="0.2">
      <c r="M945" s="23"/>
      <c r="N945" s="949"/>
      <c r="O945" s="23"/>
      <c r="R945" s="23"/>
      <c r="S945" s="949"/>
      <c r="T945" s="23"/>
      <c r="U945" s="23"/>
      <c r="V945" s="23"/>
      <c r="W945" s="23"/>
      <c r="X945" s="23"/>
      <c r="Y945" s="23"/>
      <c r="Z945" s="23"/>
      <c r="AA945" s="23"/>
      <c r="AB945" s="23"/>
      <c r="AC945" s="23"/>
      <c r="AD945" s="23"/>
      <c r="AE945" s="23"/>
      <c r="AF945" s="23"/>
      <c r="AG945" s="23"/>
      <c r="AH945" s="23"/>
      <c r="AI945" s="23"/>
      <c r="AJ945" s="23"/>
      <c r="AK945" s="23"/>
      <c r="AL945" s="23"/>
      <c r="AM945" s="23"/>
      <c r="AN945" s="23"/>
    </row>
    <row r="946" spans="13:40" x14ac:dyDescent="0.2">
      <c r="M946" s="23"/>
      <c r="N946" s="949"/>
      <c r="O946" s="23"/>
      <c r="R946" s="23"/>
      <c r="S946" s="949"/>
      <c r="T946" s="23"/>
      <c r="U946" s="23"/>
      <c r="V946" s="23"/>
      <c r="W946" s="23"/>
      <c r="X946" s="23"/>
      <c r="Y946" s="23"/>
      <c r="Z946" s="23"/>
      <c r="AA946" s="23"/>
      <c r="AB946" s="23"/>
      <c r="AC946" s="23"/>
      <c r="AD946" s="23"/>
      <c r="AE946" s="23"/>
      <c r="AF946" s="23"/>
      <c r="AG946" s="23"/>
      <c r="AH946" s="23"/>
      <c r="AI946" s="23"/>
      <c r="AJ946" s="23"/>
      <c r="AK946" s="23"/>
      <c r="AL946" s="23"/>
      <c r="AM946" s="23"/>
      <c r="AN946" s="23"/>
    </row>
    <row r="947" spans="13:40" x14ac:dyDescent="0.2">
      <c r="M947" s="23"/>
      <c r="N947" s="949"/>
      <c r="O947" s="23"/>
      <c r="R947" s="23"/>
      <c r="S947" s="949"/>
      <c r="T947" s="23"/>
      <c r="U947" s="23"/>
      <c r="V947" s="23"/>
      <c r="W947" s="23"/>
      <c r="X947" s="23"/>
      <c r="Y947" s="23"/>
      <c r="Z947" s="23"/>
      <c r="AA947" s="23"/>
      <c r="AB947" s="23"/>
      <c r="AC947" s="23"/>
      <c r="AD947" s="23"/>
      <c r="AE947" s="23"/>
      <c r="AF947" s="23"/>
      <c r="AG947" s="23"/>
      <c r="AH947" s="23"/>
      <c r="AI947" s="23"/>
      <c r="AJ947" s="23"/>
      <c r="AK947" s="23"/>
      <c r="AL947" s="23"/>
      <c r="AM947" s="23"/>
      <c r="AN947" s="23"/>
    </row>
    <row r="948" spans="13:40" x14ac:dyDescent="0.2">
      <c r="M948" s="23"/>
      <c r="N948" s="949"/>
      <c r="O948" s="23"/>
      <c r="R948" s="23"/>
      <c r="S948" s="949"/>
      <c r="T948" s="23"/>
      <c r="U948" s="23"/>
      <c r="V948" s="23"/>
      <c r="W948" s="23"/>
      <c r="X948" s="23"/>
      <c r="Y948" s="23"/>
      <c r="Z948" s="23"/>
      <c r="AA948" s="23"/>
      <c r="AB948" s="23"/>
      <c r="AC948" s="23"/>
      <c r="AD948" s="23"/>
      <c r="AE948" s="23"/>
      <c r="AF948" s="23"/>
      <c r="AG948" s="23"/>
      <c r="AH948" s="23"/>
      <c r="AI948" s="23"/>
      <c r="AJ948" s="23"/>
      <c r="AK948" s="23"/>
      <c r="AL948" s="23"/>
      <c r="AM948" s="23"/>
      <c r="AN948" s="23"/>
    </row>
    <row r="949" spans="13:40" x14ac:dyDescent="0.2">
      <c r="M949" s="23"/>
      <c r="N949" s="949"/>
      <c r="O949" s="23"/>
      <c r="R949" s="23"/>
      <c r="S949" s="949"/>
      <c r="T949" s="23"/>
      <c r="U949" s="23"/>
      <c r="V949" s="23"/>
      <c r="W949" s="23"/>
      <c r="X949" s="23"/>
      <c r="Y949" s="23"/>
      <c r="Z949" s="23"/>
      <c r="AA949" s="23"/>
      <c r="AB949" s="23"/>
      <c r="AC949" s="23"/>
      <c r="AD949" s="23"/>
      <c r="AE949" s="23"/>
      <c r="AF949" s="23"/>
      <c r="AG949" s="23"/>
      <c r="AH949" s="23"/>
      <c r="AI949" s="23"/>
      <c r="AJ949" s="23"/>
      <c r="AK949" s="23"/>
      <c r="AL949" s="23"/>
      <c r="AM949" s="23"/>
      <c r="AN949" s="23"/>
    </row>
    <row r="950" spans="13:40" x14ac:dyDescent="0.2">
      <c r="M950" s="23"/>
      <c r="N950" s="949"/>
      <c r="O950" s="23"/>
      <c r="R950" s="23"/>
      <c r="S950" s="949"/>
      <c r="T950" s="23"/>
      <c r="U950" s="23"/>
      <c r="V950" s="23"/>
      <c r="W950" s="23"/>
      <c r="X950" s="23"/>
      <c r="Y950" s="23"/>
      <c r="Z950" s="23"/>
      <c r="AA950" s="23"/>
      <c r="AB950" s="23"/>
      <c r="AC950" s="23"/>
      <c r="AD950" s="23"/>
      <c r="AE950" s="23"/>
      <c r="AF950" s="23"/>
      <c r="AG950" s="23"/>
      <c r="AH950" s="23"/>
      <c r="AI950" s="23"/>
      <c r="AJ950" s="23"/>
      <c r="AK950" s="23"/>
      <c r="AL950" s="23"/>
      <c r="AM950" s="23"/>
      <c r="AN950" s="23"/>
    </row>
    <row r="951" spans="13:40" x14ac:dyDescent="0.2">
      <c r="M951" s="23"/>
      <c r="N951" s="949"/>
      <c r="O951" s="23"/>
      <c r="R951" s="23"/>
      <c r="S951" s="949"/>
      <c r="T951" s="23"/>
      <c r="U951" s="23"/>
      <c r="V951" s="23"/>
      <c r="W951" s="23"/>
      <c r="X951" s="23"/>
      <c r="Y951" s="23"/>
      <c r="Z951" s="23"/>
      <c r="AA951" s="23"/>
      <c r="AB951" s="23"/>
      <c r="AC951" s="23"/>
      <c r="AD951" s="23"/>
      <c r="AE951" s="23"/>
      <c r="AF951" s="23"/>
      <c r="AG951" s="23"/>
      <c r="AH951" s="23"/>
      <c r="AI951" s="23"/>
      <c r="AJ951" s="23"/>
      <c r="AK951" s="23"/>
      <c r="AL951" s="23"/>
      <c r="AM951" s="23"/>
      <c r="AN951" s="23"/>
    </row>
    <row r="952" spans="13:40" x14ac:dyDescent="0.2">
      <c r="M952" s="23"/>
      <c r="N952" s="949"/>
      <c r="O952" s="23"/>
      <c r="R952" s="23"/>
      <c r="S952" s="949"/>
      <c r="T952" s="23"/>
      <c r="U952" s="23"/>
      <c r="V952" s="23"/>
      <c r="W952" s="23"/>
      <c r="X952" s="23"/>
      <c r="Y952" s="23"/>
      <c r="Z952" s="23"/>
      <c r="AA952" s="23"/>
      <c r="AB952" s="23"/>
      <c r="AC952" s="23"/>
      <c r="AD952" s="23"/>
      <c r="AE952" s="23"/>
      <c r="AF952" s="23"/>
      <c r="AG952" s="23"/>
      <c r="AH952" s="23"/>
      <c r="AI952" s="23"/>
      <c r="AJ952" s="23"/>
      <c r="AK952" s="23"/>
      <c r="AL952" s="23"/>
      <c r="AM952" s="23"/>
      <c r="AN952" s="23"/>
    </row>
    <row r="953" spans="13:40" x14ac:dyDescent="0.2">
      <c r="M953" s="23"/>
      <c r="N953" s="949"/>
      <c r="O953" s="23"/>
      <c r="R953" s="23"/>
      <c r="S953" s="949"/>
      <c r="T953" s="23"/>
      <c r="U953" s="23"/>
      <c r="V953" s="23"/>
      <c r="W953" s="23"/>
      <c r="X953" s="23"/>
      <c r="Y953" s="23"/>
      <c r="Z953" s="23"/>
      <c r="AA953" s="23"/>
      <c r="AB953" s="23"/>
      <c r="AC953" s="23"/>
      <c r="AD953" s="23"/>
      <c r="AE953" s="23"/>
      <c r="AF953" s="23"/>
      <c r="AG953" s="23"/>
      <c r="AH953" s="23"/>
      <c r="AI953" s="23"/>
      <c r="AJ953" s="23"/>
      <c r="AK953" s="23"/>
      <c r="AL953" s="23"/>
      <c r="AM953" s="23"/>
      <c r="AN953" s="23"/>
    </row>
    <row r="954" spans="13:40" x14ac:dyDescent="0.2">
      <c r="M954" s="23"/>
      <c r="N954" s="949"/>
      <c r="O954" s="23"/>
      <c r="R954" s="23"/>
      <c r="S954" s="949"/>
      <c r="T954" s="23"/>
      <c r="U954" s="23"/>
      <c r="V954" s="23"/>
      <c r="W954" s="23"/>
      <c r="X954" s="23"/>
      <c r="Y954" s="23"/>
      <c r="Z954" s="23"/>
      <c r="AA954" s="23"/>
      <c r="AB954" s="23"/>
      <c r="AC954" s="23"/>
      <c r="AD954" s="23"/>
      <c r="AE954" s="23"/>
      <c r="AF954" s="23"/>
      <c r="AG954" s="23"/>
      <c r="AH954" s="23"/>
      <c r="AI954" s="23"/>
      <c r="AJ954" s="23"/>
      <c r="AK954" s="23"/>
      <c r="AL954" s="23"/>
      <c r="AM954" s="23"/>
      <c r="AN954" s="23"/>
    </row>
    <row r="955" spans="13:40" x14ac:dyDescent="0.2">
      <c r="M955" s="23"/>
      <c r="N955" s="949"/>
      <c r="O955" s="23"/>
      <c r="R955" s="23"/>
      <c r="S955" s="949"/>
      <c r="T955" s="23"/>
      <c r="U955" s="23"/>
      <c r="V955" s="23"/>
      <c r="W955" s="23"/>
      <c r="X955" s="23"/>
      <c r="Y955" s="23"/>
      <c r="Z955" s="23"/>
      <c r="AA955" s="23"/>
      <c r="AB955" s="23"/>
      <c r="AC955" s="23"/>
      <c r="AD955" s="23"/>
      <c r="AE955" s="23"/>
      <c r="AF955" s="23"/>
      <c r="AG955" s="23"/>
      <c r="AH955" s="23"/>
      <c r="AI955" s="23"/>
      <c r="AJ955" s="23"/>
      <c r="AK955" s="23"/>
      <c r="AL955" s="23"/>
      <c r="AM955" s="23"/>
      <c r="AN955" s="23"/>
    </row>
    <row r="956" spans="13:40" x14ac:dyDescent="0.2">
      <c r="M956" s="23"/>
      <c r="N956" s="949"/>
      <c r="O956" s="23"/>
      <c r="R956" s="23"/>
      <c r="S956" s="949"/>
      <c r="T956" s="23"/>
      <c r="U956" s="23"/>
      <c r="V956" s="23"/>
      <c r="W956" s="23"/>
      <c r="X956" s="23"/>
      <c r="Y956" s="23"/>
      <c r="Z956" s="23"/>
      <c r="AA956" s="23"/>
      <c r="AB956" s="23"/>
      <c r="AC956" s="23"/>
      <c r="AD956" s="23"/>
      <c r="AE956" s="23"/>
      <c r="AF956" s="23"/>
      <c r="AG956" s="23"/>
      <c r="AH956" s="23"/>
      <c r="AI956" s="23"/>
      <c r="AJ956" s="23"/>
      <c r="AK956" s="23"/>
      <c r="AL956" s="23"/>
      <c r="AM956" s="23"/>
      <c r="AN956" s="23"/>
    </row>
    <row r="957" spans="13:40" x14ac:dyDescent="0.2">
      <c r="M957" s="23"/>
      <c r="N957" s="949"/>
      <c r="O957" s="23"/>
      <c r="R957" s="23"/>
      <c r="S957" s="949"/>
      <c r="T957" s="23"/>
      <c r="U957" s="23"/>
      <c r="V957" s="23"/>
      <c r="W957" s="23"/>
      <c r="X957" s="23"/>
      <c r="Y957" s="23"/>
      <c r="Z957" s="23"/>
      <c r="AA957" s="23"/>
      <c r="AB957" s="23"/>
      <c r="AC957" s="23"/>
      <c r="AD957" s="23"/>
      <c r="AE957" s="23"/>
      <c r="AF957" s="23"/>
      <c r="AG957" s="23"/>
      <c r="AH957" s="23"/>
      <c r="AI957" s="23"/>
      <c r="AJ957" s="23"/>
      <c r="AK957" s="23"/>
      <c r="AL957" s="23"/>
      <c r="AM957" s="23"/>
      <c r="AN957" s="23"/>
    </row>
    <row r="958" spans="13:40" x14ac:dyDescent="0.2">
      <c r="M958" s="23"/>
      <c r="N958" s="949"/>
      <c r="O958" s="23"/>
      <c r="R958" s="23"/>
      <c r="S958" s="949"/>
      <c r="T958" s="23"/>
      <c r="U958" s="23"/>
      <c r="V958" s="23"/>
      <c r="W958" s="23"/>
      <c r="X958" s="23"/>
      <c r="Y958" s="23"/>
      <c r="Z958" s="23"/>
      <c r="AA958" s="23"/>
      <c r="AB958" s="23"/>
      <c r="AC958" s="23"/>
      <c r="AD958" s="23"/>
      <c r="AE958" s="23"/>
      <c r="AF958" s="23"/>
      <c r="AG958" s="23"/>
      <c r="AH958" s="23"/>
      <c r="AI958" s="23"/>
      <c r="AJ958" s="23"/>
      <c r="AK958" s="23"/>
      <c r="AL958" s="23"/>
      <c r="AM958" s="23"/>
      <c r="AN958" s="23"/>
    </row>
    <row r="959" spans="13:40" x14ac:dyDescent="0.2">
      <c r="M959" s="23"/>
      <c r="N959" s="949"/>
      <c r="O959" s="23"/>
      <c r="R959" s="23"/>
      <c r="S959" s="949"/>
      <c r="T959" s="23"/>
      <c r="U959" s="23"/>
      <c r="V959" s="23"/>
      <c r="W959" s="23"/>
      <c r="X959" s="23"/>
      <c r="Y959" s="23"/>
      <c r="Z959" s="23"/>
      <c r="AA959" s="23"/>
      <c r="AB959" s="23"/>
      <c r="AC959" s="23"/>
      <c r="AD959" s="23"/>
      <c r="AE959" s="23"/>
      <c r="AF959" s="23"/>
      <c r="AG959" s="23"/>
      <c r="AH959" s="23"/>
      <c r="AI959" s="23"/>
      <c r="AJ959" s="23"/>
      <c r="AK959" s="23"/>
      <c r="AL959" s="23"/>
      <c r="AM959" s="23"/>
      <c r="AN959" s="23"/>
    </row>
    <row r="960" spans="13:40" x14ac:dyDescent="0.2">
      <c r="M960" s="23"/>
      <c r="N960" s="949"/>
      <c r="O960" s="23"/>
      <c r="R960" s="23"/>
      <c r="S960" s="949"/>
      <c r="T960" s="23"/>
      <c r="U960" s="23"/>
      <c r="V960" s="23"/>
      <c r="W960" s="23"/>
      <c r="X960" s="23"/>
      <c r="Y960" s="23"/>
      <c r="Z960" s="23"/>
      <c r="AA960" s="23"/>
      <c r="AB960" s="23"/>
      <c r="AC960" s="23"/>
      <c r="AD960" s="23"/>
      <c r="AE960" s="23"/>
      <c r="AF960" s="23"/>
      <c r="AG960" s="23"/>
      <c r="AH960" s="23"/>
      <c r="AI960" s="23"/>
      <c r="AJ960" s="23"/>
      <c r="AK960" s="23"/>
      <c r="AL960" s="23"/>
      <c r="AM960" s="23"/>
      <c r="AN960" s="23"/>
    </row>
    <row r="961" spans="13:40" x14ac:dyDescent="0.2">
      <c r="M961" s="23"/>
      <c r="N961" s="949"/>
      <c r="O961" s="23"/>
      <c r="R961" s="23"/>
      <c r="S961" s="949"/>
      <c r="T961" s="23"/>
      <c r="U961" s="23"/>
      <c r="V961" s="23"/>
      <c r="W961" s="23"/>
      <c r="X961" s="23"/>
      <c r="Y961" s="23"/>
      <c r="Z961" s="23"/>
      <c r="AA961" s="23"/>
      <c r="AB961" s="23"/>
      <c r="AC961" s="23"/>
      <c r="AD961" s="23"/>
      <c r="AE961" s="23"/>
      <c r="AF961" s="23"/>
      <c r="AG961" s="23"/>
      <c r="AH961" s="23"/>
      <c r="AI961" s="23"/>
      <c r="AJ961" s="23"/>
      <c r="AK961" s="23"/>
      <c r="AL961" s="23"/>
      <c r="AM961" s="23"/>
      <c r="AN961" s="23"/>
    </row>
    <row r="962" spans="13:40" x14ac:dyDescent="0.2">
      <c r="M962" s="23"/>
      <c r="N962" s="949"/>
      <c r="O962" s="23"/>
      <c r="R962" s="23"/>
      <c r="S962" s="949"/>
      <c r="T962" s="23"/>
      <c r="U962" s="23"/>
      <c r="V962" s="23"/>
      <c r="W962" s="23"/>
      <c r="X962" s="23"/>
      <c r="Y962" s="23"/>
      <c r="Z962" s="23"/>
      <c r="AA962" s="23"/>
      <c r="AB962" s="23"/>
      <c r="AC962" s="23"/>
      <c r="AD962" s="23"/>
      <c r="AE962" s="23"/>
      <c r="AF962" s="23"/>
      <c r="AG962" s="23"/>
      <c r="AH962" s="23"/>
      <c r="AI962" s="23"/>
      <c r="AJ962" s="23"/>
      <c r="AK962" s="23"/>
      <c r="AL962" s="23"/>
      <c r="AM962" s="23"/>
      <c r="AN962" s="23"/>
    </row>
    <row r="963" spans="13:40" x14ac:dyDescent="0.2">
      <c r="M963" s="23"/>
      <c r="N963" s="949"/>
      <c r="O963" s="23"/>
      <c r="R963" s="23"/>
      <c r="S963" s="949"/>
      <c r="T963" s="23"/>
      <c r="U963" s="23"/>
      <c r="V963" s="23"/>
      <c r="W963" s="23"/>
      <c r="X963" s="23"/>
      <c r="Y963" s="23"/>
      <c r="Z963" s="23"/>
      <c r="AA963" s="23"/>
      <c r="AB963" s="23"/>
      <c r="AC963" s="23"/>
      <c r="AD963" s="23"/>
      <c r="AE963" s="23"/>
      <c r="AF963" s="23"/>
      <c r="AG963" s="23"/>
      <c r="AH963" s="23"/>
      <c r="AI963" s="23"/>
      <c r="AJ963" s="23"/>
      <c r="AK963" s="23"/>
      <c r="AL963" s="23"/>
      <c r="AM963" s="23"/>
      <c r="AN963" s="23"/>
    </row>
    <row r="964" spans="13:40" x14ac:dyDescent="0.2">
      <c r="M964" s="23"/>
      <c r="N964" s="949"/>
      <c r="O964" s="23"/>
      <c r="R964" s="23"/>
      <c r="S964" s="949"/>
      <c r="T964" s="23"/>
      <c r="U964" s="23"/>
      <c r="V964" s="23"/>
      <c r="W964" s="23"/>
      <c r="X964" s="23"/>
      <c r="Y964" s="23"/>
      <c r="Z964" s="23"/>
      <c r="AA964" s="23"/>
      <c r="AB964" s="23"/>
      <c r="AC964" s="23"/>
      <c r="AD964" s="23"/>
      <c r="AE964" s="23"/>
      <c r="AF964" s="23"/>
      <c r="AG964" s="23"/>
      <c r="AH964" s="23"/>
      <c r="AI964" s="23"/>
      <c r="AJ964" s="23"/>
      <c r="AK964" s="23"/>
      <c r="AL964" s="23"/>
      <c r="AM964" s="23"/>
      <c r="AN964" s="23"/>
    </row>
    <row r="965" spans="13:40" x14ac:dyDescent="0.2">
      <c r="M965" s="23"/>
      <c r="N965" s="949"/>
      <c r="O965" s="23"/>
      <c r="R965" s="23"/>
      <c r="S965" s="949"/>
      <c r="T965" s="23"/>
      <c r="U965" s="23"/>
      <c r="V965" s="23"/>
      <c r="W965" s="23"/>
      <c r="X965" s="23"/>
      <c r="Y965" s="23"/>
      <c r="Z965" s="23"/>
      <c r="AA965" s="23"/>
      <c r="AB965" s="23"/>
      <c r="AC965" s="23"/>
      <c r="AD965" s="23"/>
      <c r="AE965" s="23"/>
      <c r="AF965" s="23"/>
      <c r="AG965" s="23"/>
      <c r="AH965" s="23"/>
      <c r="AI965" s="23"/>
      <c r="AJ965" s="23"/>
      <c r="AK965" s="23"/>
      <c r="AL965" s="23"/>
      <c r="AM965" s="23"/>
      <c r="AN965" s="23"/>
    </row>
    <row r="966" spans="13:40" x14ac:dyDescent="0.2">
      <c r="M966" s="23"/>
      <c r="N966" s="949"/>
      <c r="O966" s="23"/>
      <c r="R966" s="23"/>
      <c r="S966" s="949"/>
      <c r="T966" s="23"/>
      <c r="U966" s="23"/>
      <c r="V966" s="23"/>
      <c r="W966" s="23"/>
      <c r="X966" s="23"/>
      <c r="Y966" s="23"/>
      <c r="Z966" s="23"/>
      <c r="AA966" s="23"/>
      <c r="AB966" s="23"/>
      <c r="AC966" s="23"/>
      <c r="AD966" s="23"/>
      <c r="AE966" s="23"/>
      <c r="AF966" s="23"/>
      <c r="AG966" s="23"/>
      <c r="AH966" s="23"/>
      <c r="AI966" s="23"/>
      <c r="AJ966" s="23"/>
      <c r="AK966" s="23"/>
      <c r="AL966" s="23"/>
      <c r="AM966" s="23"/>
      <c r="AN966" s="23"/>
    </row>
    <row r="967" spans="13:40" x14ac:dyDescent="0.2">
      <c r="M967" s="23"/>
      <c r="N967" s="949"/>
      <c r="O967" s="23"/>
      <c r="R967" s="23"/>
      <c r="S967" s="949"/>
      <c r="T967" s="23"/>
      <c r="U967" s="23"/>
      <c r="V967" s="23"/>
      <c r="W967" s="23"/>
      <c r="X967" s="23"/>
      <c r="Y967" s="23"/>
      <c r="Z967" s="23"/>
      <c r="AA967" s="23"/>
      <c r="AB967" s="23"/>
      <c r="AC967" s="23"/>
      <c r="AD967" s="23"/>
      <c r="AE967" s="23"/>
      <c r="AF967" s="23"/>
      <c r="AG967" s="23"/>
      <c r="AH967" s="23"/>
      <c r="AI967" s="23"/>
      <c r="AJ967" s="23"/>
      <c r="AK967" s="23"/>
      <c r="AL967" s="23"/>
      <c r="AM967" s="23"/>
      <c r="AN967" s="23"/>
    </row>
    <row r="968" spans="13:40" x14ac:dyDescent="0.2">
      <c r="M968" s="23"/>
      <c r="N968" s="949"/>
      <c r="O968" s="23"/>
      <c r="R968" s="23"/>
      <c r="S968" s="949"/>
      <c r="T968" s="23"/>
      <c r="U968" s="23"/>
      <c r="V968" s="23"/>
      <c r="W968" s="23"/>
      <c r="X968" s="23"/>
      <c r="Y968" s="23"/>
      <c r="Z968" s="23"/>
      <c r="AA968" s="23"/>
      <c r="AB968" s="23"/>
      <c r="AC968" s="23"/>
      <c r="AD968" s="23"/>
      <c r="AE968" s="23"/>
      <c r="AF968" s="23"/>
      <c r="AG968" s="23"/>
      <c r="AH968" s="23"/>
      <c r="AI968" s="23"/>
      <c r="AJ968" s="23"/>
      <c r="AK968" s="23"/>
      <c r="AL968" s="23"/>
      <c r="AM968" s="23"/>
      <c r="AN968" s="23"/>
    </row>
    <row r="969" spans="13:40" x14ac:dyDescent="0.2">
      <c r="M969" s="23"/>
      <c r="N969" s="949"/>
      <c r="O969" s="23"/>
      <c r="R969" s="23"/>
      <c r="S969" s="949"/>
      <c r="T969" s="23"/>
      <c r="U969" s="23"/>
      <c r="V969" s="23"/>
      <c r="W969" s="23"/>
      <c r="X969" s="23"/>
      <c r="Y969" s="23"/>
      <c r="Z969" s="23"/>
      <c r="AA969" s="23"/>
      <c r="AB969" s="23"/>
      <c r="AC969" s="23"/>
      <c r="AD969" s="23"/>
      <c r="AE969" s="23"/>
      <c r="AF969" s="23"/>
      <c r="AG969" s="23"/>
      <c r="AH969" s="23"/>
      <c r="AI969" s="23"/>
      <c r="AJ969" s="23"/>
      <c r="AK969" s="23"/>
      <c r="AL969" s="23"/>
      <c r="AM969" s="23"/>
      <c r="AN969" s="23"/>
    </row>
    <row r="970" spans="13:40" x14ac:dyDescent="0.2">
      <c r="M970" s="23"/>
      <c r="N970" s="949"/>
      <c r="O970" s="23"/>
      <c r="R970" s="23"/>
      <c r="S970" s="949"/>
      <c r="T970" s="23"/>
      <c r="U970" s="23"/>
      <c r="V970" s="23"/>
      <c r="W970" s="23"/>
      <c r="X970" s="23"/>
      <c r="Y970" s="23"/>
      <c r="Z970" s="23"/>
      <c r="AA970" s="23"/>
      <c r="AB970" s="23"/>
      <c r="AC970" s="23"/>
      <c r="AD970" s="23"/>
      <c r="AE970" s="23"/>
      <c r="AF970" s="23"/>
      <c r="AG970" s="23"/>
      <c r="AH970" s="23"/>
      <c r="AI970" s="23"/>
      <c r="AJ970" s="23"/>
      <c r="AK970" s="23"/>
      <c r="AL970" s="23"/>
      <c r="AM970" s="23"/>
      <c r="AN970" s="23"/>
    </row>
    <row r="971" spans="13:40" x14ac:dyDescent="0.2">
      <c r="M971" s="23"/>
      <c r="N971" s="949"/>
      <c r="O971" s="23"/>
      <c r="R971" s="23"/>
      <c r="S971" s="949"/>
      <c r="T971" s="23"/>
      <c r="U971" s="23"/>
      <c r="V971" s="23"/>
      <c r="W971" s="23"/>
      <c r="X971" s="23"/>
      <c r="Y971" s="23"/>
      <c r="Z971" s="23"/>
      <c r="AA971" s="23"/>
      <c r="AB971" s="23"/>
      <c r="AC971" s="23"/>
      <c r="AD971" s="23"/>
      <c r="AE971" s="23"/>
      <c r="AF971" s="23"/>
      <c r="AG971" s="23"/>
      <c r="AH971" s="23"/>
      <c r="AI971" s="23"/>
      <c r="AJ971" s="23"/>
      <c r="AK971" s="23"/>
      <c r="AL971" s="23"/>
      <c r="AM971" s="23"/>
      <c r="AN971" s="23"/>
    </row>
    <row r="972" spans="13:40" x14ac:dyDescent="0.2">
      <c r="M972" s="23"/>
      <c r="N972" s="949"/>
      <c r="O972" s="23"/>
      <c r="R972" s="23"/>
      <c r="S972" s="949"/>
      <c r="T972" s="23"/>
      <c r="U972" s="23"/>
      <c r="V972" s="23"/>
      <c r="W972" s="23"/>
      <c r="X972" s="23"/>
      <c r="Y972" s="23"/>
      <c r="Z972" s="23"/>
      <c r="AA972" s="23"/>
      <c r="AB972" s="23"/>
      <c r="AC972" s="23"/>
      <c r="AD972" s="23"/>
      <c r="AE972" s="23"/>
      <c r="AF972" s="23"/>
      <c r="AG972" s="23"/>
      <c r="AH972" s="23"/>
      <c r="AI972" s="23"/>
      <c r="AJ972" s="23"/>
      <c r="AK972" s="23"/>
      <c r="AL972" s="23"/>
      <c r="AM972" s="23"/>
      <c r="AN972" s="23"/>
    </row>
    <row r="973" spans="13:40" x14ac:dyDescent="0.2">
      <c r="M973" s="23"/>
      <c r="N973" s="949"/>
      <c r="O973" s="23"/>
      <c r="R973" s="23"/>
      <c r="S973" s="949"/>
      <c r="T973" s="23"/>
      <c r="U973" s="23"/>
      <c r="V973" s="23"/>
      <c r="W973" s="23"/>
      <c r="X973" s="23"/>
      <c r="Y973" s="23"/>
      <c r="Z973" s="23"/>
      <c r="AA973" s="23"/>
      <c r="AB973" s="23"/>
      <c r="AC973" s="23"/>
      <c r="AD973" s="23"/>
      <c r="AE973" s="23"/>
      <c r="AF973" s="23"/>
      <c r="AG973" s="23"/>
      <c r="AH973" s="23"/>
      <c r="AI973" s="23"/>
      <c r="AJ973" s="23"/>
      <c r="AK973" s="23"/>
      <c r="AL973" s="23"/>
      <c r="AM973" s="23"/>
      <c r="AN973" s="23"/>
    </row>
    <row r="974" spans="13:40" x14ac:dyDescent="0.2">
      <c r="M974" s="23"/>
      <c r="N974" s="949"/>
      <c r="O974" s="23"/>
      <c r="R974" s="23"/>
      <c r="S974" s="949"/>
      <c r="T974" s="23"/>
      <c r="U974" s="23"/>
      <c r="V974" s="23"/>
      <c r="W974" s="23"/>
      <c r="X974" s="23"/>
      <c r="Y974" s="23"/>
      <c r="Z974" s="23"/>
      <c r="AA974" s="23"/>
      <c r="AB974" s="23"/>
      <c r="AC974" s="23"/>
      <c r="AD974" s="23"/>
      <c r="AE974" s="23"/>
      <c r="AF974" s="23"/>
      <c r="AG974" s="23"/>
      <c r="AH974" s="23"/>
      <c r="AI974" s="23"/>
      <c r="AJ974" s="23"/>
      <c r="AK974" s="23"/>
      <c r="AL974" s="23"/>
      <c r="AM974" s="23"/>
      <c r="AN974" s="23"/>
    </row>
    <row r="975" spans="13:40" x14ac:dyDescent="0.2">
      <c r="M975" s="23"/>
      <c r="N975" s="949"/>
      <c r="O975" s="23"/>
      <c r="R975" s="23"/>
      <c r="S975" s="949"/>
      <c r="T975" s="23"/>
      <c r="U975" s="23"/>
      <c r="V975" s="23"/>
      <c r="W975" s="23"/>
      <c r="X975" s="23"/>
      <c r="Y975" s="23"/>
      <c r="Z975" s="23"/>
      <c r="AA975" s="23"/>
      <c r="AB975" s="23"/>
      <c r="AC975" s="23"/>
      <c r="AD975" s="23"/>
      <c r="AE975" s="23"/>
      <c r="AF975" s="23"/>
      <c r="AG975" s="23"/>
      <c r="AH975" s="23"/>
      <c r="AI975" s="23"/>
      <c r="AJ975" s="23"/>
      <c r="AK975" s="23"/>
      <c r="AL975" s="23"/>
      <c r="AM975" s="23"/>
      <c r="AN975" s="23"/>
    </row>
    <row r="976" spans="13:40" x14ac:dyDescent="0.2">
      <c r="M976" s="23"/>
      <c r="N976" s="949"/>
      <c r="O976" s="23"/>
      <c r="R976" s="23"/>
      <c r="S976" s="949"/>
      <c r="T976" s="23"/>
      <c r="U976" s="23"/>
      <c r="V976" s="23"/>
      <c r="W976" s="23"/>
      <c r="X976" s="23"/>
      <c r="Y976" s="23"/>
      <c r="Z976" s="23"/>
      <c r="AA976" s="23"/>
      <c r="AB976" s="23"/>
      <c r="AC976" s="23"/>
      <c r="AD976" s="23"/>
      <c r="AE976" s="23"/>
      <c r="AF976" s="23"/>
      <c r="AG976" s="23"/>
      <c r="AH976" s="23"/>
      <c r="AI976" s="23"/>
      <c r="AJ976" s="23"/>
      <c r="AK976" s="23"/>
      <c r="AL976" s="23"/>
      <c r="AM976" s="23"/>
      <c r="AN976" s="23"/>
    </row>
    <row r="977" spans="13:40" x14ac:dyDescent="0.2">
      <c r="M977" s="23"/>
      <c r="N977" s="949"/>
      <c r="O977" s="23"/>
      <c r="R977" s="23"/>
      <c r="S977" s="949"/>
      <c r="T977" s="23"/>
      <c r="U977" s="23"/>
      <c r="V977" s="23"/>
      <c r="W977" s="23"/>
      <c r="X977" s="23"/>
      <c r="Y977" s="23"/>
      <c r="Z977" s="23"/>
      <c r="AA977" s="23"/>
      <c r="AB977" s="23"/>
      <c r="AC977" s="23"/>
      <c r="AD977" s="23"/>
      <c r="AE977" s="23"/>
      <c r="AF977" s="23"/>
      <c r="AG977" s="23"/>
      <c r="AH977" s="23"/>
      <c r="AI977" s="23"/>
      <c r="AJ977" s="23"/>
      <c r="AK977" s="23"/>
      <c r="AL977" s="23"/>
      <c r="AM977" s="23"/>
      <c r="AN977" s="23"/>
    </row>
    <row r="978" spans="13:40" x14ac:dyDescent="0.2">
      <c r="M978" s="23"/>
      <c r="N978" s="949"/>
      <c r="O978" s="23"/>
      <c r="R978" s="23"/>
      <c r="S978" s="949"/>
      <c r="T978" s="23"/>
      <c r="U978" s="23"/>
      <c r="V978" s="23"/>
      <c r="W978" s="23"/>
      <c r="X978" s="23"/>
      <c r="Y978" s="23"/>
      <c r="Z978" s="23"/>
      <c r="AA978" s="23"/>
      <c r="AB978" s="23"/>
      <c r="AC978" s="23"/>
      <c r="AD978" s="23"/>
      <c r="AE978" s="23"/>
      <c r="AF978" s="23"/>
      <c r="AG978" s="23"/>
      <c r="AH978" s="23"/>
      <c r="AI978" s="23"/>
      <c r="AJ978" s="23"/>
      <c r="AK978" s="23"/>
      <c r="AL978" s="23"/>
      <c r="AM978" s="23"/>
      <c r="AN978" s="23"/>
    </row>
    <row r="979" spans="13:40" x14ac:dyDescent="0.2">
      <c r="M979" s="23"/>
      <c r="N979" s="949"/>
      <c r="O979" s="23"/>
      <c r="R979" s="23"/>
      <c r="S979" s="949"/>
      <c r="T979" s="23"/>
      <c r="U979" s="23"/>
      <c r="V979" s="23"/>
      <c r="W979" s="23"/>
      <c r="X979" s="23"/>
      <c r="Y979" s="23"/>
      <c r="Z979" s="23"/>
      <c r="AA979" s="23"/>
      <c r="AB979" s="23"/>
      <c r="AC979" s="23"/>
      <c r="AD979" s="23"/>
      <c r="AE979" s="23"/>
      <c r="AF979" s="23"/>
      <c r="AG979" s="23"/>
      <c r="AH979" s="23"/>
      <c r="AI979" s="23"/>
      <c r="AJ979" s="23"/>
      <c r="AK979" s="23"/>
      <c r="AL979" s="23"/>
      <c r="AM979" s="23"/>
      <c r="AN979" s="23"/>
    </row>
    <row r="980" spans="13:40" x14ac:dyDescent="0.2">
      <c r="M980" s="23"/>
      <c r="N980" s="949"/>
      <c r="O980" s="23"/>
      <c r="R980" s="23"/>
      <c r="S980" s="949"/>
      <c r="T980" s="23"/>
      <c r="U980" s="23"/>
      <c r="V980" s="23"/>
      <c r="W980" s="23"/>
      <c r="X980" s="23"/>
      <c r="Y980" s="23"/>
      <c r="Z980" s="23"/>
      <c r="AA980" s="23"/>
      <c r="AB980" s="23"/>
      <c r="AC980" s="23"/>
      <c r="AD980" s="23"/>
      <c r="AE980" s="23"/>
      <c r="AF980" s="23"/>
      <c r="AG980" s="23"/>
      <c r="AH980" s="23"/>
      <c r="AI980" s="23"/>
      <c r="AJ980" s="23"/>
      <c r="AK980" s="23"/>
      <c r="AL980" s="23"/>
      <c r="AM980" s="23"/>
      <c r="AN980" s="23"/>
    </row>
    <row r="981" spans="13:40" x14ac:dyDescent="0.2">
      <c r="M981" s="23"/>
      <c r="N981" s="949"/>
      <c r="O981" s="23"/>
      <c r="R981" s="23"/>
      <c r="S981" s="949"/>
      <c r="T981" s="23"/>
      <c r="U981" s="23"/>
      <c r="V981" s="23"/>
      <c r="W981" s="23"/>
      <c r="X981" s="23"/>
      <c r="Y981" s="23"/>
      <c r="Z981" s="23"/>
      <c r="AA981" s="23"/>
      <c r="AB981" s="23"/>
      <c r="AC981" s="23"/>
      <c r="AD981" s="23"/>
      <c r="AE981" s="23"/>
      <c r="AF981" s="23"/>
      <c r="AG981" s="23"/>
      <c r="AH981" s="23"/>
      <c r="AI981" s="23"/>
      <c r="AJ981" s="23"/>
      <c r="AK981" s="23"/>
      <c r="AL981" s="23"/>
      <c r="AM981" s="23"/>
      <c r="AN981" s="23"/>
    </row>
    <row r="982" spans="13:40" x14ac:dyDescent="0.2">
      <c r="M982" s="23"/>
      <c r="N982" s="949"/>
      <c r="O982" s="23"/>
      <c r="R982" s="23"/>
      <c r="S982" s="949"/>
      <c r="T982" s="23"/>
      <c r="U982" s="23"/>
      <c r="V982" s="23"/>
      <c r="W982" s="23"/>
      <c r="X982" s="23"/>
      <c r="Y982" s="23"/>
      <c r="Z982" s="23"/>
      <c r="AA982" s="23"/>
      <c r="AB982" s="23"/>
      <c r="AC982" s="23"/>
      <c r="AD982" s="23"/>
      <c r="AE982" s="23"/>
      <c r="AF982" s="23"/>
      <c r="AG982" s="23"/>
      <c r="AH982" s="23"/>
      <c r="AI982" s="23"/>
      <c r="AJ982" s="23"/>
      <c r="AK982" s="23"/>
      <c r="AL982" s="23"/>
      <c r="AM982" s="23"/>
      <c r="AN982" s="23"/>
    </row>
    <row r="983" spans="13:40" x14ac:dyDescent="0.2">
      <c r="M983" s="23"/>
      <c r="N983" s="949"/>
      <c r="O983" s="23"/>
      <c r="R983" s="23"/>
      <c r="S983" s="949"/>
      <c r="T983" s="23"/>
      <c r="U983" s="23"/>
      <c r="V983" s="23"/>
      <c r="W983" s="23"/>
      <c r="X983" s="23"/>
      <c r="Y983" s="23"/>
      <c r="Z983" s="23"/>
      <c r="AA983" s="23"/>
      <c r="AB983" s="23"/>
      <c r="AC983" s="23"/>
      <c r="AD983" s="23"/>
      <c r="AE983" s="23"/>
      <c r="AF983" s="23"/>
      <c r="AG983" s="23"/>
      <c r="AH983" s="23"/>
      <c r="AI983" s="23"/>
      <c r="AJ983" s="23"/>
      <c r="AK983" s="23"/>
      <c r="AL983" s="23"/>
      <c r="AM983" s="23"/>
      <c r="AN983" s="23"/>
    </row>
    <row r="984" spans="13:40" x14ac:dyDescent="0.2">
      <c r="M984" s="23"/>
      <c r="N984" s="949"/>
      <c r="O984" s="23"/>
      <c r="R984" s="23"/>
      <c r="S984" s="949"/>
      <c r="T984" s="23"/>
      <c r="U984" s="23"/>
      <c r="V984" s="23"/>
      <c r="W984" s="23"/>
      <c r="X984" s="23"/>
      <c r="Y984" s="23"/>
      <c r="Z984" s="23"/>
      <c r="AA984" s="23"/>
      <c r="AB984" s="23"/>
      <c r="AC984" s="23"/>
      <c r="AD984" s="23"/>
      <c r="AE984" s="23"/>
      <c r="AF984" s="23"/>
      <c r="AG984" s="23"/>
      <c r="AH984" s="23"/>
      <c r="AI984" s="23"/>
      <c r="AJ984" s="23"/>
      <c r="AK984" s="23"/>
      <c r="AL984" s="23"/>
      <c r="AM984" s="23"/>
      <c r="AN984" s="23"/>
    </row>
    <row r="985" spans="13:40" x14ac:dyDescent="0.2">
      <c r="M985" s="23"/>
      <c r="N985" s="949"/>
      <c r="O985" s="23"/>
      <c r="R985" s="23"/>
      <c r="S985" s="949"/>
      <c r="T985" s="23"/>
      <c r="U985" s="23"/>
      <c r="V985" s="23"/>
      <c r="W985" s="23"/>
      <c r="X985" s="23"/>
      <c r="Y985" s="23"/>
      <c r="Z985" s="23"/>
      <c r="AA985" s="23"/>
      <c r="AB985" s="23"/>
      <c r="AC985" s="23"/>
      <c r="AD985" s="23"/>
      <c r="AE985" s="23"/>
      <c r="AF985" s="23"/>
      <c r="AG985" s="23"/>
      <c r="AH985" s="23"/>
      <c r="AI985" s="23"/>
      <c r="AJ985" s="23"/>
      <c r="AK985" s="23"/>
      <c r="AL985" s="23"/>
      <c r="AM985" s="23"/>
      <c r="AN985" s="23"/>
    </row>
    <row r="986" spans="13:40" x14ac:dyDescent="0.2">
      <c r="M986" s="23"/>
      <c r="N986" s="949"/>
      <c r="O986" s="23"/>
      <c r="R986" s="23"/>
      <c r="S986" s="949"/>
      <c r="T986" s="23"/>
      <c r="U986" s="23"/>
      <c r="V986" s="23"/>
      <c r="W986" s="23"/>
      <c r="X986" s="23"/>
      <c r="Y986" s="23"/>
      <c r="Z986" s="23"/>
      <c r="AA986" s="23"/>
      <c r="AB986" s="23"/>
      <c r="AC986" s="23"/>
      <c r="AD986" s="23"/>
      <c r="AE986" s="23"/>
      <c r="AF986" s="23"/>
      <c r="AG986" s="23"/>
      <c r="AH986" s="23"/>
      <c r="AI986" s="23"/>
      <c r="AJ986" s="23"/>
      <c r="AK986" s="23"/>
      <c r="AL986" s="23"/>
      <c r="AM986" s="23"/>
      <c r="AN986" s="23"/>
    </row>
    <row r="987" spans="13:40" x14ac:dyDescent="0.2">
      <c r="M987" s="23"/>
      <c r="N987" s="949"/>
      <c r="O987" s="23"/>
      <c r="R987" s="23"/>
      <c r="S987" s="949"/>
      <c r="T987" s="23"/>
      <c r="U987" s="23"/>
      <c r="V987" s="23"/>
      <c r="W987" s="23"/>
      <c r="X987" s="23"/>
      <c r="Y987" s="23"/>
      <c r="Z987" s="23"/>
      <c r="AA987" s="23"/>
      <c r="AB987" s="23"/>
      <c r="AC987" s="23"/>
      <c r="AD987" s="23"/>
      <c r="AE987" s="23"/>
      <c r="AF987" s="23"/>
      <c r="AG987" s="23"/>
      <c r="AH987" s="23"/>
      <c r="AI987" s="23"/>
      <c r="AJ987" s="23"/>
      <c r="AK987" s="23"/>
      <c r="AL987" s="23"/>
      <c r="AM987" s="23"/>
      <c r="AN987" s="23"/>
    </row>
    <row r="988" spans="13:40" x14ac:dyDescent="0.2">
      <c r="M988" s="23"/>
      <c r="N988" s="949"/>
      <c r="O988" s="23"/>
      <c r="R988" s="23"/>
      <c r="S988" s="949"/>
      <c r="T988" s="23"/>
      <c r="U988" s="23"/>
      <c r="V988" s="23"/>
      <c r="W988" s="23"/>
      <c r="X988" s="23"/>
      <c r="Y988" s="23"/>
      <c r="Z988" s="23"/>
      <c r="AA988" s="23"/>
      <c r="AB988" s="23"/>
      <c r="AC988" s="23"/>
      <c r="AD988" s="23"/>
      <c r="AE988" s="23"/>
      <c r="AF988" s="23"/>
      <c r="AG988" s="23"/>
      <c r="AH988" s="23"/>
      <c r="AI988" s="23"/>
      <c r="AJ988" s="23"/>
      <c r="AK988" s="23"/>
      <c r="AL988" s="23"/>
      <c r="AM988" s="23"/>
      <c r="AN988" s="23"/>
    </row>
    <row r="989" spans="13:40" x14ac:dyDescent="0.2">
      <c r="M989" s="23"/>
      <c r="N989" s="949"/>
      <c r="O989" s="23"/>
      <c r="R989" s="23"/>
      <c r="S989" s="949"/>
      <c r="T989" s="23"/>
      <c r="U989" s="23"/>
      <c r="V989" s="23"/>
      <c r="W989" s="23"/>
      <c r="X989" s="23"/>
      <c r="Y989" s="23"/>
      <c r="Z989" s="23"/>
      <c r="AA989" s="23"/>
      <c r="AB989" s="23"/>
      <c r="AC989" s="23"/>
      <c r="AD989" s="23"/>
      <c r="AE989" s="23"/>
      <c r="AF989" s="23"/>
      <c r="AG989" s="23"/>
      <c r="AH989" s="23"/>
      <c r="AI989" s="23"/>
      <c r="AJ989" s="23"/>
      <c r="AK989" s="23"/>
      <c r="AL989" s="23"/>
      <c r="AM989" s="23"/>
      <c r="AN989" s="23"/>
    </row>
    <row r="990" spans="13:40" x14ac:dyDescent="0.2">
      <c r="M990" s="23"/>
      <c r="N990" s="949"/>
      <c r="O990" s="23"/>
      <c r="R990" s="23"/>
      <c r="S990" s="949"/>
      <c r="T990" s="23"/>
      <c r="U990" s="23"/>
      <c r="V990" s="23"/>
      <c r="W990" s="23"/>
      <c r="X990" s="23"/>
      <c r="Y990" s="23"/>
      <c r="Z990" s="23"/>
      <c r="AA990" s="23"/>
      <c r="AB990" s="23"/>
      <c r="AC990" s="23"/>
      <c r="AD990" s="23"/>
      <c r="AE990" s="23"/>
      <c r="AF990" s="23"/>
      <c r="AG990" s="23"/>
      <c r="AH990" s="23"/>
      <c r="AI990" s="23"/>
      <c r="AJ990" s="23"/>
      <c r="AK990" s="23"/>
      <c r="AL990" s="23"/>
      <c r="AM990" s="23"/>
      <c r="AN990" s="23"/>
    </row>
    <row r="991" spans="13:40" x14ac:dyDescent="0.2">
      <c r="M991" s="23"/>
      <c r="N991" s="949"/>
      <c r="O991" s="23"/>
      <c r="R991" s="23"/>
      <c r="S991" s="949"/>
      <c r="T991" s="23"/>
      <c r="U991" s="23"/>
      <c r="V991" s="23"/>
      <c r="W991" s="23"/>
      <c r="X991" s="23"/>
      <c r="Y991" s="23"/>
      <c r="Z991" s="23"/>
      <c r="AA991" s="23"/>
      <c r="AB991" s="23"/>
      <c r="AC991" s="23"/>
      <c r="AD991" s="23"/>
      <c r="AE991" s="23"/>
      <c r="AF991" s="23"/>
      <c r="AG991" s="23"/>
      <c r="AH991" s="23"/>
      <c r="AI991" s="23"/>
      <c r="AJ991" s="23"/>
      <c r="AK991" s="23"/>
      <c r="AL991" s="23"/>
      <c r="AM991" s="23"/>
      <c r="AN991" s="23"/>
    </row>
    <row r="992" spans="13:40" x14ac:dyDescent="0.2">
      <c r="M992" s="23"/>
      <c r="N992" s="949"/>
      <c r="O992" s="23"/>
      <c r="R992" s="23"/>
      <c r="S992" s="949"/>
      <c r="T992" s="23"/>
      <c r="U992" s="23"/>
      <c r="V992" s="23"/>
      <c r="W992" s="23"/>
      <c r="X992" s="23"/>
      <c r="Y992" s="23"/>
      <c r="Z992" s="23"/>
      <c r="AA992" s="23"/>
      <c r="AB992" s="23"/>
      <c r="AC992" s="23"/>
      <c r="AD992" s="23"/>
      <c r="AE992" s="23"/>
      <c r="AF992" s="23"/>
      <c r="AG992" s="23"/>
      <c r="AH992" s="23"/>
      <c r="AI992" s="23"/>
      <c r="AJ992" s="23"/>
      <c r="AK992" s="23"/>
      <c r="AL992" s="23"/>
      <c r="AM992" s="23"/>
      <c r="AN992" s="23"/>
    </row>
    <row r="993" spans="13:40" x14ac:dyDescent="0.2">
      <c r="M993" s="23"/>
      <c r="N993" s="949"/>
      <c r="O993" s="23"/>
      <c r="R993" s="23"/>
      <c r="S993" s="949"/>
      <c r="T993" s="23"/>
      <c r="U993" s="23"/>
      <c r="V993" s="23"/>
      <c r="W993" s="23"/>
      <c r="X993" s="23"/>
      <c r="Y993" s="23"/>
      <c r="Z993" s="23"/>
      <c r="AA993" s="23"/>
      <c r="AB993" s="23"/>
      <c r="AC993" s="23"/>
      <c r="AD993" s="23"/>
      <c r="AE993" s="23"/>
      <c r="AF993" s="23"/>
      <c r="AG993" s="23"/>
      <c r="AH993" s="23"/>
      <c r="AI993" s="23"/>
      <c r="AJ993" s="23"/>
      <c r="AK993" s="23"/>
      <c r="AL993" s="23"/>
      <c r="AM993" s="23"/>
      <c r="AN993" s="23"/>
    </row>
    <row r="994" spans="13:40" x14ac:dyDescent="0.2">
      <c r="M994" s="23"/>
      <c r="N994" s="949"/>
      <c r="O994" s="23"/>
      <c r="R994" s="23"/>
      <c r="S994" s="949"/>
      <c r="T994" s="23"/>
      <c r="U994" s="23"/>
      <c r="V994" s="23"/>
      <c r="W994" s="23"/>
      <c r="X994" s="23"/>
      <c r="Y994" s="23"/>
      <c r="Z994" s="23"/>
      <c r="AA994" s="23"/>
      <c r="AB994" s="23"/>
      <c r="AC994" s="23"/>
      <c r="AD994" s="23"/>
      <c r="AE994" s="23"/>
      <c r="AF994" s="23"/>
      <c r="AG994" s="23"/>
      <c r="AH994" s="23"/>
      <c r="AI994" s="23"/>
      <c r="AJ994" s="23"/>
      <c r="AK994" s="23"/>
      <c r="AL994" s="23"/>
      <c r="AM994" s="23"/>
      <c r="AN994" s="23"/>
    </row>
    <row r="995" spans="13:40" x14ac:dyDescent="0.2">
      <c r="M995" s="23"/>
      <c r="N995" s="949"/>
      <c r="O995" s="23"/>
      <c r="R995" s="23"/>
      <c r="S995" s="949"/>
      <c r="T995" s="23"/>
      <c r="U995" s="23"/>
      <c r="V995" s="23"/>
      <c r="W995" s="23"/>
      <c r="X995" s="23"/>
      <c r="Y995" s="23"/>
      <c r="Z995" s="23"/>
      <c r="AA995" s="23"/>
      <c r="AB995" s="23"/>
      <c r="AC995" s="23"/>
      <c r="AD995" s="23"/>
      <c r="AE995" s="23"/>
      <c r="AF995" s="23"/>
      <c r="AG995" s="23"/>
      <c r="AH995" s="23"/>
      <c r="AI995" s="23"/>
      <c r="AJ995" s="23"/>
      <c r="AK995" s="23"/>
      <c r="AL995" s="23"/>
      <c r="AM995" s="23"/>
      <c r="AN995" s="23"/>
    </row>
    <row r="996" spans="13:40" x14ac:dyDescent="0.2">
      <c r="M996" s="23"/>
      <c r="N996" s="949"/>
      <c r="O996" s="23"/>
      <c r="R996" s="23"/>
      <c r="S996" s="949"/>
      <c r="T996" s="23"/>
      <c r="U996" s="23"/>
      <c r="V996" s="23"/>
      <c r="W996" s="23"/>
      <c r="X996" s="23"/>
      <c r="Y996" s="23"/>
      <c r="Z996" s="23"/>
      <c r="AA996" s="23"/>
      <c r="AB996" s="23"/>
      <c r="AC996" s="23"/>
      <c r="AD996" s="23"/>
      <c r="AE996" s="23"/>
      <c r="AF996" s="23"/>
      <c r="AG996" s="23"/>
      <c r="AH996" s="23"/>
      <c r="AI996" s="23"/>
      <c r="AJ996" s="23"/>
      <c r="AK996" s="23"/>
      <c r="AL996" s="23"/>
      <c r="AM996" s="23"/>
      <c r="AN996" s="23"/>
    </row>
    <row r="997" spans="13:40" x14ac:dyDescent="0.2">
      <c r="M997" s="23"/>
      <c r="N997" s="949"/>
      <c r="O997" s="23"/>
      <c r="R997" s="23"/>
      <c r="S997" s="949"/>
      <c r="T997" s="23"/>
      <c r="U997" s="23"/>
      <c r="V997" s="23"/>
      <c r="W997" s="23"/>
      <c r="X997" s="23"/>
      <c r="Y997" s="23"/>
      <c r="Z997" s="23"/>
      <c r="AA997" s="23"/>
      <c r="AB997" s="23"/>
      <c r="AC997" s="23"/>
      <c r="AD997" s="23"/>
      <c r="AE997" s="23"/>
      <c r="AF997" s="23"/>
      <c r="AG997" s="23"/>
      <c r="AH997" s="23"/>
      <c r="AI997" s="23"/>
      <c r="AJ997" s="23"/>
      <c r="AK997" s="23"/>
      <c r="AL997" s="23"/>
      <c r="AM997" s="23"/>
      <c r="AN997" s="23"/>
    </row>
    <row r="998" spans="13:40" x14ac:dyDescent="0.2">
      <c r="M998" s="23"/>
      <c r="N998" s="949"/>
      <c r="O998" s="23"/>
      <c r="R998" s="23"/>
      <c r="S998" s="949"/>
      <c r="T998" s="23"/>
      <c r="U998" s="23"/>
      <c r="V998" s="23"/>
      <c r="W998" s="23"/>
      <c r="X998" s="23"/>
      <c r="Y998" s="23"/>
      <c r="Z998" s="23"/>
      <c r="AA998" s="23"/>
      <c r="AB998" s="23"/>
      <c r="AC998" s="23"/>
      <c r="AD998" s="23"/>
      <c r="AE998" s="23"/>
      <c r="AF998" s="23"/>
      <c r="AG998" s="23"/>
      <c r="AH998" s="23"/>
      <c r="AI998" s="23"/>
      <c r="AJ998" s="23"/>
      <c r="AK998" s="23"/>
      <c r="AL998" s="23"/>
      <c r="AM998" s="23"/>
      <c r="AN998" s="23"/>
    </row>
    <row r="999" spans="13:40" x14ac:dyDescent="0.2">
      <c r="M999" s="23"/>
      <c r="N999" s="949"/>
      <c r="O999" s="23"/>
      <c r="R999" s="23"/>
      <c r="S999" s="949"/>
      <c r="T999" s="23"/>
      <c r="U999" s="23"/>
      <c r="V999" s="23"/>
      <c r="W999" s="23"/>
      <c r="X999" s="23"/>
      <c r="Y999" s="23"/>
      <c r="Z999" s="23"/>
      <c r="AA999" s="23"/>
      <c r="AB999" s="23"/>
      <c r="AC999" s="23"/>
      <c r="AD999" s="23"/>
      <c r="AE999" s="23"/>
      <c r="AF999" s="23"/>
      <c r="AG999" s="23"/>
      <c r="AH999" s="23"/>
      <c r="AI999" s="23"/>
      <c r="AJ999" s="23"/>
      <c r="AK999" s="23"/>
      <c r="AL999" s="23"/>
      <c r="AM999" s="23"/>
      <c r="AN999" s="23"/>
    </row>
    <row r="1000" spans="13:40" x14ac:dyDescent="0.2">
      <c r="M1000" s="23"/>
      <c r="N1000" s="949"/>
      <c r="O1000" s="23"/>
      <c r="R1000" s="23"/>
      <c r="S1000" s="949"/>
      <c r="T1000" s="23"/>
      <c r="U1000" s="23"/>
      <c r="V1000" s="23"/>
      <c r="W1000" s="23"/>
      <c r="X1000" s="23"/>
      <c r="Y1000" s="23"/>
      <c r="Z1000" s="23"/>
      <c r="AA1000" s="23"/>
      <c r="AB1000" s="23"/>
      <c r="AC1000" s="23"/>
      <c r="AD1000" s="23"/>
      <c r="AE1000" s="23"/>
      <c r="AF1000" s="23"/>
      <c r="AG1000" s="23"/>
      <c r="AH1000" s="23"/>
      <c r="AI1000" s="23"/>
      <c r="AJ1000" s="23"/>
      <c r="AK1000" s="23"/>
      <c r="AL1000" s="23"/>
      <c r="AM1000" s="23"/>
      <c r="AN1000" s="23"/>
    </row>
    <row r="1001" spans="13:40" x14ac:dyDescent="0.2">
      <c r="M1001" s="23"/>
      <c r="N1001" s="949"/>
      <c r="O1001" s="23"/>
      <c r="R1001" s="23"/>
      <c r="S1001" s="949"/>
      <c r="T1001" s="23"/>
      <c r="U1001" s="23"/>
      <c r="V1001" s="23"/>
      <c r="W1001" s="23"/>
      <c r="X1001" s="23"/>
      <c r="Y1001" s="23"/>
      <c r="Z1001" s="23"/>
      <c r="AA1001" s="23"/>
      <c r="AB1001" s="23"/>
      <c r="AC1001" s="23"/>
      <c r="AD1001" s="23"/>
      <c r="AE1001" s="23"/>
      <c r="AF1001" s="23"/>
      <c r="AG1001" s="23"/>
      <c r="AH1001" s="23"/>
      <c r="AI1001" s="23"/>
      <c r="AJ1001" s="23"/>
      <c r="AK1001" s="23"/>
      <c r="AL1001" s="23"/>
      <c r="AM1001" s="23"/>
      <c r="AN1001" s="23"/>
    </row>
    <row r="1002" spans="13:40" x14ac:dyDescent="0.2">
      <c r="M1002" s="23"/>
      <c r="N1002" s="949"/>
      <c r="O1002" s="23"/>
      <c r="R1002" s="23"/>
      <c r="S1002" s="949"/>
      <c r="T1002" s="23"/>
      <c r="U1002" s="23"/>
      <c r="V1002" s="23"/>
      <c r="W1002" s="23"/>
      <c r="X1002" s="23"/>
      <c r="Y1002" s="23"/>
      <c r="Z1002" s="23"/>
      <c r="AA1002" s="23"/>
      <c r="AB1002" s="23"/>
      <c r="AC1002" s="23"/>
      <c r="AD1002" s="23"/>
      <c r="AE1002" s="23"/>
      <c r="AF1002" s="23"/>
      <c r="AG1002" s="23"/>
      <c r="AH1002" s="23"/>
      <c r="AI1002" s="23"/>
      <c r="AJ1002" s="23"/>
      <c r="AK1002" s="23"/>
      <c r="AL1002" s="23"/>
      <c r="AM1002" s="23"/>
      <c r="AN1002" s="23"/>
    </row>
    <row r="1003" spans="13:40" x14ac:dyDescent="0.2">
      <c r="M1003" s="23"/>
      <c r="N1003" s="949"/>
      <c r="O1003" s="23"/>
      <c r="R1003" s="23"/>
      <c r="S1003" s="949"/>
      <c r="T1003" s="23"/>
      <c r="U1003" s="23"/>
      <c r="V1003" s="23"/>
      <c r="W1003" s="23"/>
      <c r="X1003" s="23"/>
      <c r="Y1003" s="23"/>
      <c r="Z1003" s="23"/>
      <c r="AA1003" s="23"/>
      <c r="AB1003" s="23"/>
      <c r="AC1003" s="23"/>
      <c r="AD1003" s="23"/>
      <c r="AE1003" s="23"/>
      <c r="AF1003" s="23"/>
      <c r="AG1003" s="23"/>
      <c r="AH1003" s="23"/>
      <c r="AI1003" s="23"/>
      <c r="AJ1003" s="23"/>
      <c r="AK1003" s="23"/>
      <c r="AL1003" s="23"/>
      <c r="AM1003" s="23"/>
      <c r="AN1003" s="23"/>
    </row>
    <row r="1004" spans="13:40" x14ac:dyDescent="0.2">
      <c r="M1004" s="23"/>
      <c r="N1004" s="949"/>
      <c r="O1004" s="23"/>
      <c r="R1004" s="23"/>
      <c r="S1004" s="949"/>
      <c r="T1004" s="23"/>
      <c r="U1004" s="23"/>
      <c r="V1004" s="23"/>
      <c r="W1004" s="23"/>
      <c r="X1004" s="23"/>
      <c r="Y1004" s="23"/>
      <c r="Z1004" s="23"/>
      <c r="AA1004" s="23"/>
      <c r="AB1004" s="23"/>
      <c r="AC1004" s="23"/>
      <c r="AD1004" s="23"/>
      <c r="AE1004" s="23"/>
      <c r="AF1004" s="23"/>
      <c r="AG1004" s="23"/>
      <c r="AH1004" s="23"/>
      <c r="AI1004" s="23"/>
      <c r="AJ1004" s="23"/>
      <c r="AK1004" s="23"/>
      <c r="AL1004" s="23"/>
      <c r="AM1004" s="23"/>
      <c r="AN1004" s="23"/>
    </row>
    <row r="1005" spans="13:40" x14ac:dyDescent="0.2">
      <c r="M1005" s="23"/>
      <c r="N1005" s="949"/>
      <c r="O1005" s="23"/>
      <c r="R1005" s="23"/>
      <c r="S1005" s="949"/>
      <c r="T1005" s="23"/>
      <c r="U1005" s="23"/>
      <c r="V1005" s="23"/>
      <c r="W1005" s="23"/>
      <c r="X1005" s="23"/>
      <c r="Y1005" s="23"/>
      <c r="Z1005" s="23"/>
      <c r="AA1005" s="23"/>
      <c r="AB1005" s="23"/>
      <c r="AC1005" s="23"/>
      <c r="AD1005" s="23"/>
      <c r="AE1005" s="23"/>
      <c r="AF1005" s="23"/>
      <c r="AG1005" s="23"/>
      <c r="AH1005" s="23"/>
      <c r="AI1005" s="23"/>
      <c r="AJ1005" s="23"/>
      <c r="AK1005" s="23"/>
      <c r="AL1005" s="23"/>
      <c r="AM1005" s="23"/>
      <c r="AN1005" s="23"/>
    </row>
    <row r="1006" spans="13:40" x14ac:dyDescent="0.2">
      <c r="M1006" s="23"/>
      <c r="N1006" s="949"/>
      <c r="O1006" s="23"/>
      <c r="R1006" s="23"/>
      <c r="S1006" s="949"/>
      <c r="T1006" s="23"/>
      <c r="U1006" s="23"/>
      <c r="V1006" s="23"/>
      <c r="W1006" s="23"/>
      <c r="X1006" s="23"/>
      <c r="Y1006" s="23"/>
      <c r="Z1006" s="23"/>
      <c r="AA1006" s="23"/>
      <c r="AB1006" s="23"/>
      <c r="AC1006" s="23"/>
      <c r="AD1006" s="23"/>
      <c r="AE1006" s="23"/>
      <c r="AF1006" s="23"/>
      <c r="AG1006" s="23"/>
      <c r="AH1006" s="23"/>
      <c r="AI1006" s="23"/>
      <c r="AJ1006" s="23"/>
      <c r="AK1006" s="23"/>
      <c r="AL1006" s="23"/>
      <c r="AM1006" s="23"/>
      <c r="AN1006" s="23"/>
    </row>
    <row r="1007" spans="13:40" x14ac:dyDescent="0.2">
      <c r="M1007" s="23"/>
      <c r="N1007" s="949"/>
      <c r="O1007" s="23"/>
      <c r="R1007" s="23"/>
      <c r="S1007" s="949"/>
      <c r="T1007" s="23"/>
      <c r="U1007" s="23"/>
      <c r="V1007" s="23"/>
      <c r="W1007" s="23"/>
      <c r="X1007" s="23"/>
      <c r="Y1007" s="23"/>
      <c r="Z1007" s="23"/>
      <c r="AA1007" s="23"/>
      <c r="AB1007" s="23"/>
      <c r="AC1007" s="23"/>
      <c r="AD1007" s="23"/>
      <c r="AE1007" s="23"/>
      <c r="AF1007" s="23"/>
      <c r="AG1007" s="23"/>
      <c r="AH1007" s="23"/>
      <c r="AI1007" s="23"/>
      <c r="AJ1007" s="23"/>
      <c r="AK1007" s="23"/>
      <c r="AL1007" s="23"/>
      <c r="AM1007" s="23"/>
      <c r="AN1007" s="23"/>
    </row>
    <row r="1008" spans="13:40" x14ac:dyDescent="0.2">
      <c r="M1008" s="23"/>
      <c r="N1008" s="949"/>
      <c r="O1008" s="23"/>
      <c r="R1008" s="23"/>
      <c r="S1008" s="949"/>
      <c r="T1008" s="23"/>
      <c r="U1008" s="23"/>
      <c r="V1008" s="23"/>
      <c r="W1008" s="23"/>
      <c r="X1008" s="23"/>
      <c r="Y1008" s="23"/>
      <c r="Z1008" s="23"/>
      <c r="AA1008" s="23"/>
      <c r="AB1008" s="23"/>
      <c r="AC1008" s="23"/>
      <c r="AD1008" s="23"/>
      <c r="AE1008" s="23"/>
      <c r="AF1008" s="23"/>
      <c r="AG1008" s="23"/>
      <c r="AH1008" s="23"/>
      <c r="AI1008" s="23"/>
      <c r="AJ1008" s="23"/>
      <c r="AK1008" s="23"/>
      <c r="AL1008" s="23"/>
      <c r="AM1008" s="23"/>
      <c r="AN1008" s="23"/>
    </row>
    <row r="1009" spans="13:40" x14ac:dyDescent="0.2">
      <c r="M1009" s="23"/>
      <c r="N1009" s="949"/>
      <c r="O1009" s="23"/>
      <c r="R1009" s="23"/>
      <c r="S1009" s="949"/>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row>
    <row r="1010" spans="13:40" x14ac:dyDescent="0.2">
      <c r="M1010" s="23"/>
      <c r="N1010" s="949"/>
      <c r="O1010" s="23"/>
      <c r="R1010" s="23"/>
      <c r="S1010" s="949"/>
      <c r="T1010" s="23"/>
      <c r="U1010" s="23"/>
      <c r="V1010" s="23"/>
      <c r="W1010" s="23"/>
      <c r="X1010" s="23"/>
      <c r="Y1010" s="23"/>
      <c r="Z1010" s="23"/>
      <c r="AA1010" s="23"/>
      <c r="AB1010" s="23"/>
      <c r="AC1010" s="23"/>
      <c r="AD1010" s="23"/>
      <c r="AE1010" s="23"/>
      <c r="AF1010" s="23"/>
      <c r="AG1010" s="23"/>
      <c r="AH1010" s="23"/>
      <c r="AI1010" s="23"/>
      <c r="AJ1010" s="23"/>
      <c r="AK1010" s="23"/>
      <c r="AL1010" s="23"/>
      <c r="AM1010" s="23"/>
      <c r="AN1010" s="23"/>
    </row>
    <row r="1011" spans="13:40" x14ac:dyDescent="0.2">
      <c r="M1011" s="23"/>
      <c r="N1011" s="949"/>
      <c r="O1011" s="23"/>
      <c r="R1011" s="23"/>
      <c r="S1011" s="949"/>
      <c r="T1011" s="23"/>
      <c r="U1011" s="23"/>
      <c r="V1011" s="23"/>
      <c r="W1011" s="23"/>
      <c r="X1011" s="23"/>
      <c r="Y1011" s="23"/>
      <c r="Z1011" s="23"/>
      <c r="AA1011" s="23"/>
      <c r="AB1011" s="23"/>
      <c r="AC1011" s="23"/>
      <c r="AD1011" s="23"/>
      <c r="AE1011" s="23"/>
      <c r="AF1011" s="23"/>
      <c r="AG1011" s="23"/>
      <c r="AH1011" s="23"/>
      <c r="AI1011" s="23"/>
      <c r="AJ1011" s="23"/>
      <c r="AK1011" s="23"/>
      <c r="AL1011" s="23"/>
      <c r="AM1011" s="23"/>
      <c r="AN1011" s="23"/>
    </row>
    <row r="1012" spans="13:40" x14ac:dyDescent="0.2">
      <c r="M1012" s="23"/>
      <c r="N1012" s="949"/>
      <c r="O1012" s="23"/>
      <c r="R1012" s="23"/>
      <c r="S1012" s="949"/>
      <c r="T1012" s="23"/>
      <c r="U1012" s="23"/>
      <c r="V1012" s="23"/>
      <c r="W1012" s="23"/>
      <c r="X1012" s="23"/>
      <c r="Y1012" s="23"/>
      <c r="Z1012" s="23"/>
      <c r="AA1012" s="23"/>
      <c r="AB1012" s="23"/>
      <c r="AC1012" s="23"/>
      <c r="AD1012" s="23"/>
      <c r="AE1012" s="23"/>
      <c r="AF1012" s="23"/>
      <c r="AG1012" s="23"/>
      <c r="AH1012" s="23"/>
      <c r="AI1012" s="23"/>
      <c r="AJ1012" s="23"/>
      <c r="AK1012" s="23"/>
      <c r="AL1012" s="23"/>
      <c r="AM1012" s="23"/>
      <c r="AN1012" s="23"/>
    </row>
    <row r="1013" spans="13:40" x14ac:dyDescent="0.2">
      <c r="M1013" s="23"/>
      <c r="N1013" s="949"/>
      <c r="O1013" s="23"/>
      <c r="R1013" s="23"/>
      <c r="S1013" s="949"/>
      <c r="T1013" s="23"/>
      <c r="U1013" s="23"/>
      <c r="V1013" s="23"/>
      <c r="W1013" s="23"/>
      <c r="X1013" s="23"/>
      <c r="Y1013" s="23"/>
      <c r="Z1013" s="23"/>
      <c r="AA1013" s="23"/>
      <c r="AB1013" s="23"/>
      <c r="AC1013" s="23"/>
      <c r="AD1013" s="23"/>
      <c r="AE1013" s="23"/>
      <c r="AF1013" s="23"/>
      <c r="AG1013" s="23"/>
      <c r="AH1013" s="23"/>
      <c r="AI1013" s="23"/>
      <c r="AJ1013" s="23"/>
      <c r="AK1013" s="23"/>
      <c r="AL1013" s="23"/>
      <c r="AM1013" s="23"/>
      <c r="AN1013" s="23"/>
    </row>
    <row r="1014" spans="13:40" x14ac:dyDescent="0.2">
      <c r="M1014" s="23"/>
      <c r="N1014" s="949"/>
      <c r="O1014" s="23"/>
      <c r="R1014" s="23"/>
      <c r="S1014" s="949"/>
      <c r="T1014" s="23"/>
      <c r="U1014" s="23"/>
      <c r="V1014" s="23"/>
      <c r="W1014" s="23"/>
      <c r="X1014" s="23"/>
      <c r="Y1014" s="23"/>
      <c r="Z1014" s="23"/>
      <c r="AA1014" s="23"/>
      <c r="AB1014" s="23"/>
      <c r="AC1014" s="23"/>
      <c r="AD1014" s="23"/>
      <c r="AE1014" s="23"/>
      <c r="AF1014" s="23"/>
      <c r="AG1014" s="23"/>
      <c r="AH1014" s="23"/>
      <c r="AI1014" s="23"/>
      <c r="AJ1014" s="23"/>
      <c r="AK1014" s="23"/>
      <c r="AL1014" s="23"/>
      <c r="AM1014" s="23"/>
      <c r="AN1014" s="23"/>
    </row>
    <row r="1015" spans="13:40" x14ac:dyDescent="0.2">
      <c r="M1015" s="23"/>
      <c r="N1015" s="949"/>
      <c r="O1015" s="23"/>
      <c r="R1015" s="23"/>
      <c r="S1015" s="949"/>
      <c r="T1015" s="23"/>
      <c r="U1015" s="23"/>
      <c r="V1015" s="23"/>
      <c r="W1015" s="23"/>
      <c r="X1015" s="23"/>
      <c r="Y1015" s="23"/>
      <c r="Z1015" s="23"/>
      <c r="AA1015" s="23"/>
      <c r="AB1015" s="23"/>
      <c r="AC1015" s="23"/>
      <c r="AD1015" s="23"/>
      <c r="AE1015" s="23"/>
      <c r="AF1015" s="23"/>
      <c r="AG1015" s="23"/>
      <c r="AH1015" s="23"/>
      <c r="AI1015" s="23"/>
      <c r="AJ1015" s="23"/>
      <c r="AK1015" s="23"/>
      <c r="AL1015" s="23"/>
      <c r="AM1015" s="23"/>
      <c r="AN1015" s="23"/>
    </row>
    <row r="1016" spans="13:40" x14ac:dyDescent="0.2">
      <c r="M1016" s="23"/>
      <c r="N1016" s="949"/>
      <c r="O1016" s="23"/>
      <c r="R1016" s="23"/>
      <c r="S1016" s="949"/>
      <c r="T1016" s="23"/>
      <c r="U1016" s="23"/>
      <c r="V1016" s="23"/>
      <c r="W1016" s="23"/>
      <c r="X1016" s="23"/>
      <c r="Y1016" s="23"/>
      <c r="Z1016" s="23"/>
      <c r="AA1016" s="23"/>
      <c r="AB1016" s="23"/>
      <c r="AC1016" s="23"/>
      <c r="AD1016" s="23"/>
      <c r="AE1016" s="23"/>
      <c r="AF1016" s="23"/>
      <c r="AG1016" s="23"/>
      <c r="AH1016" s="23"/>
      <c r="AI1016" s="23"/>
      <c r="AJ1016" s="23"/>
      <c r="AK1016" s="23"/>
      <c r="AL1016" s="23"/>
      <c r="AM1016" s="23"/>
      <c r="AN1016" s="23"/>
    </row>
    <row r="1017" spans="13:40" x14ac:dyDescent="0.2">
      <c r="M1017" s="23"/>
      <c r="N1017" s="949"/>
      <c r="O1017" s="23"/>
      <c r="R1017" s="23"/>
      <c r="S1017" s="949"/>
      <c r="T1017" s="23"/>
      <c r="U1017" s="23"/>
      <c r="V1017" s="23"/>
      <c r="W1017" s="23"/>
      <c r="X1017" s="23"/>
      <c r="Y1017" s="23"/>
      <c r="Z1017" s="23"/>
      <c r="AA1017" s="23"/>
      <c r="AB1017" s="23"/>
      <c r="AC1017" s="23"/>
      <c r="AD1017" s="23"/>
      <c r="AE1017" s="23"/>
      <c r="AF1017" s="23"/>
      <c r="AG1017" s="23"/>
      <c r="AH1017" s="23"/>
      <c r="AI1017" s="23"/>
      <c r="AJ1017" s="23"/>
      <c r="AK1017" s="23"/>
      <c r="AL1017" s="23"/>
      <c r="AM1017" s="23"/>
      <c r="AN1017" s="23"/>
    </row>
    <row r="1018" spans="13:40" x14ac:dyDescent="0.2">
      <c r="M1018" s="23"/>
      <c r="N1018" s="949"/>
      <c r="O1018" s="23"/>
      <c r="R1018" s="23"/>
      <c r="S1018" s="949"/>
      <c r="T1018" s="23"/>
      <c r="U1018" s="23"/>
      <c r="V1018" s="23"/>
      <c r="W1018" s="23"/>
      <c r="X1018" s="23"/>
      <c r="Y1018" s="23"/>
      <c r="Z1018" s="23"/>
      <c r="AA1018" s="23"/>
      <c r="AB1018" s="23"/>
      <c r="AC1018" s="23"/>
      <c r="AD1018" s="23"/>
      <c r="AE1018" s="23"/>
      <c r="AF1018" s="23"/>
      <c r="AG1018" s="23"/>
      <c r="AH1018" s="23"/>
      <c r="AI1018" s="23"/>
      <c r="AJ1018" s="23"/>
      <c r="AK1018" s="23"/>
      <c r="AL1018" s="23"/>
      <c r="AM1018" s="23"/>
      <c r="AN1018" s="23"/>
    </row>
    <row r="1019" spans="13:40" x14ac:dyDescent="0.2">
      <c r="M1019" s="23"/>
      <c r="N1019" s="949"/>
      <c r="O1019" s="23"/>
      <c r="R1019" s="23"/>
      <c r="S1019" s="949"/>
      <c r="T1019" s="23"/>
      <c r="U1019" s="23"/>
      <c r="V1019" s="23"/>
      <c r="W1019" s="23"/>
      <c r="X1019" s="23"/>
      <c r="Y1019" s="23"/>
      <c r="Z1019" s="23"/>
      <c r="AA1019" s="23"/>
      <c r="AB1019" s="23"/>
      <c r="AC1019" s="23"/>
      <c r="AD1019" s="23"/>
      <c r="AE1019" s="23"/>
      <c r="AF1019" s="23"/>
      <c r="AG1019" s="23"/>
      <c r="AH1019" s="23"/>
      <c r="AI1019" s="23"/>
      <c r="AJ1019" s="23"/>
      <c r="AK1019" s="23"/>
      <c r="AL1019" s="23"/>
      <c r="AM1019" s="23"/>
      <c r="AN1019" s="23"/>
    </row>
    <row r="1020" spans="13:40" x14ac:dyDescent="0.2">
      <c r="M1020" s="23"/>
      <c r="N1020" s="949"/>
      <c r="O1020" s="23"/>
      <c r="R1020" s="23"/>
      <c r="S1020" s="949"/>
      <c r="T1020" s="23"/>
      <c r="U1020" s="23"/>
      <c r="V1020" s="23"/>
      <c r="W1020" s="23"/>
      <c r="X1020" s="23"/>
      <c r="Y1020" s="23"/>
      <c r="Z1020" s="23"/>
      <c r="AA1020" s="23"/>
      <c r="AB1020" s="23"/>
      <c r="AC1020" s="23"/>
      <c r="AD1020" s="23"/>
      <c r="AE1020" s="23"/>
      <c r="AF1020" s="23"/>
      <c r="AG1020" s="23"/>
      <c r="AH1020" s="23"/>
      <c r="AI1020" s="23"/>
      <c r="AJ1020" s="23"/>
      <c r="AK1020" s="23"/>
      <c r="AL1020" s="23"/>
      <c r="AM1020" s="23"/>
      <c r="AN1020" s="23"/>
    </row>
    <row r="1021" spans="13:40" x14ac:dyDescent="0.2">
      <c r="M1021" s="23"/>
      <c r="N1021" s="949"/>
      <c r="O1021" s="23"/>
      <c r="R1021" s="23"/>
      <c r="S1021" s="949"/>
      <c r="T1021" s="23"/>
      <c r="U1021" s="23"/>
      <c r="V1021" s="23"/>
      <c r="W1021" s="23"/>
      <c r="X1021" s="23"/>
      <c r="Y1021" s="23"/>
      <c r="Z1021" s="23"/>
      <c r="AA1021" s="23"/>
      <c r="AB1021" s="23"/>
      <c r="AC1021" s="23"/>
      <c r="AD1021" s="23"/>
      <c r="AE1021" s="23"/>
      <c r="AF1021" s="23"/>
      <c r="AG1021" s="23"/>
      <c r="AH1021" s="23"/>
      <c r="AI1021" s="23"/>
      <c r="AJ1021" s="23"/>
      <c r="AK1021" s="23"/>
      <c r="AL1021" s="23"/>
      <c r="AM1021" s="23"/>
      <c r="AN1021" s="23"/>
    </row>
    <row r="1022" spans="13:40" x14ac:dyDescent="0.2">
      <c r="M1022" s="23"/>
      <c r="N1022" s="949"/>
      <c r="O1022" s="23"/>
      <c r="R1022" s="23"/>
      <c r="S1022" s="949"/>
      <c r="T1022" s="23"/>
      <c r="U1022" s="23"/>
      <c r="V1022" s="23"/>
      <c r="W1022" s="23"/>
      <c r="X1022" s="23"/>
      <c r="Y1022" s="23"/>
      <c r="Z1022" s="23"/>
      <c r="AA1022" s="23"/>
      <c r="AB1022" s="23"/>
      <c r="AC1022" s="23"/>
      <c r="AD1022" s="23"/>
      <c r="AE1022" s="23"/>
      <c r="AF1022" s="23"/>
      <c r="AG1022" s="23"/>
      <c r="AH1022" s="23"/>
      <c r="AI1022" s="23"/>
      <c r="AJ1022" s="23"/>
      <c r="AK1022" s="23"/>
      <c r="AL1022" s="23"/>
      <c r="AM1022" s="23"/>
      <c r="AN1022" s="23"/>
    </row>
    <row r="1023" spans="13:40" x14ac:dyDescent="0.2">
      <c r="M1023" s="23"/>
      <c r="N1023" s="949"/>
      <c r="O1023" s="23"/>
      <c r="R1023" s="23"/>
      <c r="S1023" s="949"/>
      <c r="T1023" s="23"/>
      <c r="U1023" s="23"/>
      <c r="V1023" s="23"/>
      <c r="W1023" s="23"/>
      <c r="X1023" s="23"/>
      <c r="Y1023" s="23"/>
      <c r="Z1023" s="23"/>
      <c r="AA1023" s="23"/>
      <c r="AB1023" s="23"/>
      <c r="AC1023" s="23"/>
      <c r="AD1023" s="23"/>
      <c r="AE1023" s="23"/>
      <c r="AF1023" s="23"/>
      <c r="AG1023" s="23"/>
      <c r="AH1023" s="23"/>
      <c r="AI1023" s="23"/>
      <c r="AJ1023" s="23"/>
      <c r="AK1023" s="23"/>
      <c r="AL1023" s="23"/>
      <c r="AM1023" s="23"/>
      <c r="AN1023" s="23"/>
    </row>
    <row r="1024" spans="13:40" x14ac:dyDescent="0.2">
      <c r="M1024" s="23"/>
      <c r="N1024" s="949"/>
      <c r="O1024" s="23"/>
      <c r="R1024" s="23"/>
      <c r="S1024" s="949"/>
      <c r="T1024" s="23"/>
      <c r="U1024" s="23"/>
      <c r="V1024" s="23"/>
      <c r="W1024" s="23"/>
      <c r="X1024" s="23"/>
      <c r="Y1024" s="23"/>
      <c r="Z1024" s="23"/>
      <c r="AA1024" s="23"/>
      <c r="AB1024" s="23"/>
      <c r="AC1024" s="23"/>
      <c r="AD1024" s="23"/>
      <c r="AE1024" s="23"/>
      <c r="AF1024" s="23"/>
      <c r="AG1024" s="23"/>
      <c r="AH1024" s="23"/>
      <c r="AI1024" s="23"/>
      <c r="AJ1024" s="23"/>
      <c r="AK1024" s="23"/>
      <c r="AL1024" s="23"/>
      <c r="AM1024" s="23"/>
      <c r="AN1024" s="23"/>
    </row>
    <row r="1025" spans="13:40" x14ac:dyDescent="0.2">
      <c r="M1025" s="23"/>
      <c r="N1025" s="949"/>
      <c r="O1025" s="23"/>
      <c r="R1025" s="23"/>
      <c r="S1025" s="949"/>
      <c r="T1025" s="23"/>
      <c r="U1025" s="23"/>
      <c r="V1025" s="23"/>
      <c r="W1025" s="23"/>
      <c r="X1025" s="23"/>
      <c r="Y1025" s="23"/>
      <c r="Z1025" s="23"/>
      <c r="AA1025" s="23"/>
      <c r="AB1025" s="23"/>
      <c r="AC1025" s="23"/>
      <c r="AD1025" s="23"/>
      <c r="AE1025" s="23"/>
      <c r="AF1025" s="23"/>
      <c r="AG1025" s="23"/>
      <c r="AH1025" s="23"/>
      <c r="AI1025" s="23"/>
      <c r="AJ1025" s="23"/>
      <c r="AK1025" s="23"/>
      <c r="AL1025" s="23"/>
      <c r="AM1025" s="23"/>
      <c r="AN1025" s="23"/>
    </row>
    <row r="1026" spans="13:40" x14ac:dyDescent="0.2">
      <c r="M1026" s="23"/>
      <c r="N1026" s="949"/>
      <c r="O1026" s="23"/>
      <c r="R1026" s="23"/>
      <c r="S1026" s="949"/>
      <c r="T1026" s="23"/>
      <c r="U1026" s="23"/>
      <c r="V1026" s="23"/>
      <c r="W1026" s="23"/>
      <c r="X1026" s="23"/>
      <c r="Y1026" s="23"/>
      <c r="Z1026" s="23"/>
      <c r="AA1026" s="23"/>
      <c r="AB1026" s="23"/>
      <c r="AC1026" s="23"/>
      <c r="AD1026" s="23"/>
      <c r="AE1026" s="23"/>
      <c r="AF1026" s="23"/>
      <c r="AG1026" s="23"/>
      <c r="AH1026" s="23"/>
      <c r="AI1026" s="23"/>
      <c r="AJ1026" s="23"/>
      <c r="AK1026" s="23"/>
      <c r="AL1026" s="23"/>
      <c r="AM1026" s="23"/>
      <c r="AN1026" s="23"/>
    </row>
    <row r="1027" spans="13:40" x14ac:dyDescent="0.2">
      <c r="M1027" s="23"/>
      <c r="N1027" s="949"/>
      <c r="O1027" s="23"/>
      <c r="R1027" s="23"/>
      <c r="S1027" s="949"/>
      <c r="T1027" s="23"/>
      <c r="U1027" s="23"/>
      <c r="V1027" s="23"/>
      <c r="W1027" s="23"/>
      <c r="X1027" s="23"/>
      <c r="Y1027" s="23"/>
      <c r="Z1027" s="23"/>
      <c r="AA1027" s="23"/>
      <c r="AB1027" s="23"/>
      <c r="AC1027" s="23"/>
      <c r="AD1027" s="23"/>
      <c r="AE1027" s="23"/>
      <c r="AF1027" s="23"/>
      <c r="AG1027" s="23"/>
      <c r="AH1027" s="23"/>
      <c r="AI1027" s="23"/>
      <c r="AJ1027" s="23"/>
      <c r="AK1027" s="23"/>
      <c r="AL1027" s="23"/>
      <c r="AM1027" s="23"/>
      <c r="AN1027" s="23"/>
    </row>
    <row r="1028" spans="13:40" x14ac:dyDescent="0.2">
      <c r="M1028" s="23"/>
      <c r="N1028" s="949"/>
      <c r="O1028" s="23"/>
      <c r="R1028" s="23"/>
      <c r="S1028" s="949"/>
      <c r="T1028" s="23"/>
      <c r="U1028" s="23"/>
      <c r="V1028" s="23"/>
      <c r="W1028" s="23"/>
      <c r="X1028" s="23"/>
      <c r="Y1028" s="23"/>
      <c r="Z1028" s="23"/>
      <c r="AA1028" s="23"/>
      <c r="AB1028" s="23"/>
      <c r="AC1028" s="23"/>
      <c r="AD1028" s="23"/>
      <c r="AE1028" s="23"/>
      <c r="AF1028" s="23"/>
      <c r="AG1028" s="23"/>
      <c r="AH1028" s="23"/>
      <c r="AI1028" s="23"/>
      <c r="AJ1028" s="23"/>
      <c r="AK1028" s="23"/>
      <c r="AL1028" s="23"/>
      <c r="AM1028" s="23"/>
      <c r="AN1028" s="23"/>
    </row>
    <row r="1029" spans="13:40" x14ac:dyDescent="0.2">
      <c r="M1029" s="23"/>
      <c r="N1029" s="949"/>
      <c r="O1029" s="23"/>
      <c r="R1029" s="23"/>
      <c r="S1029" s="949"/>
      <c r="T1029" s="23"/>
      <c r="U1029" s="23"/>
      <c r="V1029" s="23"/>
      <c r="W1029" s="23"/>
      <c r="X1029" s="23"/>
      <c r="Y1029" s="23"/>
      <c r="Z1029" s="23"/>
      <c r="AA1029" s="23"/>
      <c r="AB1029" s="23"/>
      <c r="AC1029" s="23"/>
      <c r="AD1029" s="23"/>
      <c r="AE1029" s="23"/>
      <c r="AF1029" s="23"/>
      <c r="AG1029" s="23"/>
      <c r="AH1029" s="23"/>
      <c r="AI1029" s="23"/>
      <c r="AJ1029" s="23"/>
      <c r="AK1029" s="23"/>
      <c r="AL1029" s="23"/>
      <c r="AM1029" s="23"/>
      <c r="AN1029" s="23"/>
    </row>
  </sheetData>
  <sheetProtection algorithmName="SHA-512" hashValue="wIbE4XDGjJt2q05C2fwWjHlbiMOhCpwYH9gpA3AUJfsXAOVY7OYSQw6+zv11AF0VYZwcgZB7DqHp2XBxbbRKFA==" saltValue="5qz9Dw3e/JpF0Dv81hxpXQ==" spinCount="100000" sheet="1" objects="1" scenarios="1"/>
  <mergeCells count="34">
    <mergeCell ref="P23:S23"/>
    <mergeCell ref="P22:S22"/>
    <mergeCell ref="L24:M24"/>
    <mergeCell ref="E2:I2"/>
    <mergeCell ref="E3:I3"/>
    <mergeCell ref="E4:I4"/>
    <mergeCell ref="E5:I5"/>
    <mergeCell ref="E6:I6"/>
    <mergeCell ref="Q24:R24"/>
    <mergeCell ref="A277:E277"/>
    <mergeCell ref="B168:D168"/>
    <mergeCell ref="B185:D185"/>
    <mergeCell ref="B167:D167"/>
    <mergeCell ref="E1:I1"/>
    <mergeCell ref="B161:D161"/>
    <mergeCell ref="B177:D177"/>
    <mergeCell ref="B176:D176"/>
    <mergeCell ref="B160:D160"/>
    <mergeCell ref="D302:E302"/>
    <mergeCell ref="U97:W97"/>
    <mergeCell ref="D315:E315"/>
    <mergeCell ref="A31:D31"/>
    <mergeCell ref="A32:D32"/>
    <mergeCell ref="A226:E226"/>
    <mergeCell ref="A287:E287"/>
    <mergeCell ref="B97:D97"/>
    <mergeCell ref="B107:D107"/>
    <mergeCell ref="A80:D80"/>
    <mergeCell ref="A87:D87"/>
    <mergeCell ref="A88:D88"/>
    <mergeCell ref="A81:D81"/>
    <mergeCell ref="A70:E70"/>
    <mergeCell ref="A191:E191"/>
    <mergeCell ref="B184:D184"/>
  </mergeCells>
  <phoneticPr fontId="12" type="noConversion"/>
  <conditionalFormatting sqref="E278:E279">
    <cfRule type="containsText" dxfId="167" priority="1" operator="containsText" text="Answer Required">
      <formula>NOT(ISERROR(SEARCH("Answer Required",E278)))</formula>
    </cfRule>
  </conditionalFormatting>
  <dataValidations xWindow="574" yWindow="197" count="15">
    <dataValidation type="whole" allowBlank="1" showInputMessage="1" showErrorMessage="1" error="Enter whole number." sqref="G150:G151 G256:G259 I86:I89 G153:G154 I278:I279 I174:I187 G261:G266 I101 G197 I206:I207 G207 I219:I221 G221 G224 G235:G237 G240:G241 G134:G137 I197 G158:G170 I158:I170 I224 G131 I235:I237 I240:I241 I115 G271 G273 G248:G250 I282 G253:G254 G192 G46:G48 G58 G56 I38:I42 I28:I34 I56:I60 G60 G62:G63 G65:G68 I65:I68 I62:I63 G50:G53 I119 G119 G71:G72 I124:I128 I131 G124 I134 G143:G147 G139:G141 G219 G129:L129 G101 G86:G88 I91:I92 I75:I82 G174:G187 G115 G91:G92 G75:G81 I261:I266" xr:uid="{00000000-0002-0000-0400-000000000000}">
      <formula1>-10000000000000000000</formula1>
      <formula2>10000000000000000000</formula2>
    </dataValidation>
    <dataValidation allowBlank="1" showErrorMessage="1" prompt="_x000a__x000a_" sqref="G272 G270" xr:uid="{00000000-0002-0000-0400-000001000000}"/>
    <dataValidation type="whole" allowBlank="1" showInputMessage="1" showErrorMessage="1" error="Enter whole number." prompt="Special Items are significant transactions/events that are within the control of management and are unusual in nature or infrequent in occurrence.  Provide a description in the space provided.  The cell is formatted to wrap and heighten if necessary." sqref="G278" xr:uid="{00000000-0002-0000-0400-000002000000}">
      <formula1>-10000000000000000000</formula1>
      <formula2>10000000000000000000</formula2>
    </dataValidation>
    <dataValidation type="whole" allowBlank="1" showInputMessage="1" showErrorMessage="1" error="Enter whole number." prompt="Extraordinary items are transactions/events that are both unusual in nature and infrequent in occurrence.   Provide a description in the space provided.  The cell is formatted to wrap and heighten if necessary." sqref="G279" xr:uid="{00000000-0002-0000-0400-000003000000}">
      <formula1>-10000000000000000000</formula1>
      <formula2>10000000000000000000</formula2>
    </dataValidation>
    <dataValidation type="whole" allowBlank="1" showInputMessage="1" showErrorMessage="1" error="Enter whole number." prompt="If the Net position-beginning amount does not equal the amount reported on Attachment HE-3, Beginning Net Position Reconciliation, submit to DOA a revised Attachment HE-3." sqref="G282" xr:uid="{00000000-0002-0000-0400-000004000000}">
      <formula1>-10000000000000000000</formula1>
      <formula2>10000000000000000000</formula2>
    </dataValidation>
    <dataValidation type="whole" allowBlank="1" showInputMessage="1" showErrorMessage="1" error="Enter whole number." prompt="The Combined Total amount for this line item should equal zero after recording the elimination entries.  If not, an &quot;ERROR&quot; message will appear.  Make corrections." sqref="I270:I273 I138:I139" xr:uid="{00000000-0002-0000-0400-000005000000}">
      <formula1>-10000000000000000000</formula1>
      <formula2>10000000000000000000</formula2>
    </dataValidation>
    <dataValidation type="whole" allowBlank="1" showInputMessage="1" showErrorMessage="1" error="Enter whole dollar amount." sqref="G206 G59 G138" xr:uid="{00000000-0002-0000-0400-000006000000}">
      <formula1>-10000000000000000000</formula1>
      <formula2>10000000000000000000</formula2>
    </dataValidation>
    <dataValidation type="whole" allowBlank="1" showErrorMessage="1" prompt="_x000a_" sqref="G220" xr:uid="{00000000-0002-0000-0400-000007000000}">
      <formula1>-10000000000000000000</formula1>
      <formula2>10000000000000000000</formula2>
    </dataValidation>
    <dataValidation type="whole" allowBlank="1" sqref="I192 I143:I147 I140:I141" xr:uid="{00000000-0002-0000-0400-000008000000}">
      <formula1>-10000000000000000000</formula1>
      <formula2>10000000000000000000</formula2>
    </dataValidation>
    <dataValidation allowBlank="1" showInputMessage="1" showErrorMessage="1" error="Enter whole number." sqref="T152:IV154 J152:N152 H152:I154 A152:F154 G152 G260 G255 O152:O154 P152:S152 G49 G54" xr:uid="{00000000-0002-0000-0400-000009000000}"/>
    <dataValidation allowBlank="1" showErrorMessage="1" prompt="_x000a_" sqref="G89 G41 G82" xr:uid="{00000000-0002-0000-0400-00000A000000}"/>
    <dataValidation type="whole" allowBlank="1" showErrorMessage="1" error="Enter whole number." sqref="G125:G128 G34 G38:G40 G130 G42 G28:G32" xr:uid="{00000000-0002-0000-0400-00000B000000}">
      <formula1>-10000000000000000000</formula1>
      <formula2>10000000000000000000</formula2>
    </dataValidation>
    <dataValidation type="whole" allowBlank="1" showInputMessage="1" showErrorMessage="1" sqref="G57" xr:uid="{00000000-0002-0000-0400-00000C000000}">
      <formula1>-10000000000000000000</formula1>
      <formula2>10000000000000000000</formula2>
    </dataValidation>
    <dataValidation allowBlank="1" showErrorMessage="1" error="_x000a_" prompt="_x000a_" sqref="G33" xr:uid="{00000000-0002-0000-0400-00000D000000}"/>
    <dataValidation allowBlank="1" showInputMessage="1" error="Select the institution number-institution acronym from the drop-down list." sqref="K23" xr:uid="{00000000-0002-0000-0400-00000E000000}"/>
  </dataValidations>
  <pageMargins left="0.7" right="0.17" top="0.82" bottom="0.5" header="0.38" footer="0.17"/>
  <pageSetup paperSize="5" scale="61" fitToHeight="0" orientation="landscape" cellComments="asDisplayed" r:id="rId1"/>
  <headerFooter alignWithMargins="0">
    <oddHeader>&amp;C&amp;"Arial,Bold"&amp;11Attachment HE-10
Financial Statement Template
&amp;A</oddHeader>
    <oddFooter>&amp;L&amp;"Arial,Regular"&amp;F \ &amp;A&amp;R&amp;"Arial,Regular"Page &amp;P</oddFooter>
  </headerFooter>
  <rowBreaks count="6" manualBreakCount="6">
    <brk id="44" max="20" man="1"/>
    <brk id="83" max="20" man="1"/>
    <brk id="121" max="20" man="1"/>
    <brk id="172" max="20" man="1"/>
    <brk id="230" max="20" man="1"/>
    <brk id="277" max="20" man="1"/>
  </rowBreaks>
  <legacyDrawing r:id="rId2"/>
  <extLst>
    <ext xmlns:x14="http://schemas.microsoft.com/office/spreadsheetml/2009/9/main" uri="{CCE6A557-97BC-4b89-ADB6-D9C93CAAB3DF}">
      <x14:dataValidations xmlns:xm="http://schemas.microsoft.com/office/excel/2006/main" xWindow="574" yWindow="197" count="1">
        <x14:dataValidation type="list" allowBlank="1" showInputMessage="1" showErrorMessage="1" error="Use the drop-down list to select the applicable Institution Number-Institution Acronym for this submission and the Institution Name will automatically populate." xr:uid="{00000000-0002-0000-0400-00000F000000}">
          <x14:formula1>
            <xm:f>'HEI #-Acronym'!$A$2:$A$27</xm:f>
          </x14:formula1>
          <xm:sqref>E1:I1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874"/>
  <sheetViews>
    <sheetView showGridLines="0" zoomScale="90" zoomScaleNormal="90" zoomScaleSheetLayoutView="75" workbookViewId="0">
      <pane xSplit="6" ySplit="20" topLeftCell="G21" activePane="bottomRight" state="frozen"/>
      <selection activeCell="H27" sqref="H27"/>
      <selection pane="topRight" activeCell="H27" sqref="H27"/>
      <selection pane="bottomLeft" activeCell="H27" sqref="H27"/>
      <selection pane="bottomRight"/>
    </sheetView>
  </sheetViews>
  <sheetFormatPr defaultColWidth="8.83203125" defaultRowHeight="12" x14ac:dyDescent="0.2"/>
  <cols>
    <col min="1" max="1" width="4.6640625" style="211" customWidth="1"/>
    <col min="2" max="2" width="1.83203125" style="211" customWidth="1"/>
    <col min="3" max="3" width="0.6640625" style="211" customWidth="1"/>
    <col min="4" max="4" width="38.6640625" style="211" customWidth="1"/>
    <col min="5" max="5" width="20.33203125" style="2" customWidth="1"/>
    <col min="6" max="6" width="0.5" style="2" customWidth="1"/>
    <col min="7" max="10" width="16.83203125" style="3" customWidth="1"/>
    <col min="11" max="16" width="16.83203125" style="211" customWidth="1"/>
    <col min="17" max="17" width="17.33203125" style="211" customWidth="1"/>
    <col min="18" max="16384" width="8.83203125" style="211"/>
  </cols>
  <sheetData>
    <row r="1" spans="1:17" ht="12.75" x14ac:dyDescent="0.2">
      <c r="A1" s="824" t="s">
        <v>1155</v>
      </c>
      <c r="E1" s="1184">
        <f>FST!E1</f>
        <v>0</v>
      </c>
      <c r="F1" s="1166"/>
      <c r="G1" s="1166"/>
      <c r="H1" s="1166"/>
      <c r="I1" s="1167"/>
    </row>
    <row r="2" spans="1:17" ht="37.5" customHeight="1" x14ac:dyDescent="0.2">
      <c r="A2" s="824" t="s">
        <v>770</v>
      </c>
      <c r="E2" s="1184" t="str">
        <f>FST!E2</f>
        <v/>
      </c>
      <c r="F2" s="1166"/>
      <c r="G2" s="1166"/>
      <c r="H2" s="1166"/>
      <c r="I2" s="1167"/>
      <c r="J2"/>
    </row>
    <row r="3" spans="1:17" ht="12.75" x14ac:dyDescent="0.2">
      <c r="A3" s="824" t="s">
        <v>771</v>
      </c>
      <c r="E3" s="1206">
        <f>FST!E3</f>
        <v>0</v>
      </c>
      <c r="F3" s="1207"/>
      <c r="G3" s="1207"/>
      <c r="H3" s="1207"/>
      <c r="I3" s="1208"/>
      <c r="J3"/>
    </row>
    <row r="4" spans="1:17" ht="12.75" x14ac:dyDescent="0.2">
      <c r="A4" s="824" t="s">
        <v>773</v>
      </c>
      <c r="E4" s="1209">
        <f>FST!E4</f>
        <v>0</v>
      </c>
      <c r="F4" s="1210"/>
      <c r="G4" s="1210"/>
      <c r="H4" s="1210"/>
      <c r="I4" s="1211"/>
      <c r="J4"/>
    </row>
    <row r="5" spans="1:17" ht="12.75" x14ac:dyDescent="0.2">
      <c r="A5" s="825" t="s">
        <v>774</v>
      </c>
      <c r="E5" s="1206">
        <f>FST!E5</f>
        <v>0</v>
      </c>
      <c r="F5" s="1207"/>
      <c r="G5" s="1207"/>
      <c r="H5" s="1207"/>
      <c r="I5" s="1208"/>
      <c r="J5"/>
    </row>
    <row r="6" spans="1:17" ht="12.75" x14ac:dyDescent="0.2">
      <c r="A6" s="826" t="s">
        <v>775</v>
      </c>
      <c r="E6" s="1212">
        <f>FST!E6</f>
        <v>0</v>
      </c>
      <c r="F6" s="1213"/>
      <c r="G6" s="1213"/>
      <c r="H6" s="1213"/>
      <c r="I6" s="1214"/>
      <c r="J6" s="273"/>
    </row>
    <row r="7" spans="1:17" x14ac:dyDescent="0.2">
      <c r="A7" s="1" t="s">
        <v>103</v>
      </c>
    </row>
    <row r="9" spans="1:17" ht="12" customHeight="1" x14ac:dyDescent="0.2">
      <c r="A9" s="67" t="s">
        <v>1316</v>
      </c>
      <c r="G9" s="4"/>
      <c r="H9" s="4"/>
      <c r="I9" s="4"/>
      <c r="J9" s="4"/>
      <c r="K9" s="6"/>
      <c r="L9" s="1204"/>
      <c r="M9" s="1205"/>
      <c r="N9" s="1205"/>
      <c r="O9" s="1205"/>
      <c r="P9" s="1205"/>
      <c r="Q9" s="1205"/>
    </row>
    <row r="10" spans="1:17" x14ac:dyDescent="0.2">
      <c r="A10" s="211" t="s">
        <v>969</v>
      </c>
      <c r="G10" s="4"/>
      <c r="H10" s="4"/>
      <c r="I10" s="4"/>
      <c r="J10" s="4"/>
      <c r="K10" s="6"/>
      <c r="L10" s="1205"/>
      <c r="M10" s="1205"/>
      <c r="N10" s="1205"/>
      <c r="O10" s="1205"/>
      <c r="P10" s="1205"/>
      <c r="Q10" s="1205"/>
    </row>
    <row r="11" spans="1:17" ht="6.75" customHeight="1" x14ac:dyDescent="0.2">
      <c r="G11" s="4"/>
      <c r="H11" s="4"/>
      <c r="I11" s="4"/>
      <c r="J11" s="4"/>
      <c r="K11" s="6"/>
      <c r="L11" s="1205"/>
      <c r="M11" s="1205"/>
      <c r="N11" s="1205"/>
      <c r="O11" s="1205"/>
      <c r="P11" s="1205"/>
      <c r="Q11" s="1205"/>
    </row>
    <row r="12" spans="1:17" x14ac:dyDescent="0.2">
      <c r="A12" s="1" t="s">
        <v>680</v>
      </c>
      <c r="G12" s="4"/>
      <c r="H12" s="4"/>
      <c r="I12" s="4"/>
      <c r="J12" s="4"/>
      <c r="K12" s="6"/>
      <c r="L12" s="1205"/>
      <c r="M12" s="1205"/>
      <c r="N12" s="1205"/>
      <c r="O12" s="1205"/>
      <c r="P12" s="1205"/>
      <c r="Q12" s="1205"/>
    </row>
    <row r="13" spans="1:17" x14ac:dyDescent="0.2">
      <c r="A13" s="211" t="s">
        <v>865</v>
      </c>
      <c r="G13" s="4"/>
      <c r="H13" s="4"/>
      <c r="I13" s="4"/>
      <c r="J13" s="4"/>
      <c r="K13" s="6"/>
      <c r="L13" s="1205"/>
      <c r="M13" s="1205"/>
      <c r="N13" s="1205"/>
      <c r="O13" s="1205"/>
      <c r="P13" s="1205"/>
      <c r="Q13" s="1205"/>
    </row>
    <row r="14" spans="1:17" x14ac:dyDescent="0.2">
      <c r="A14" s="211" t="s">
        <v>50</v>
      </c>
      <c r="G14" s="4"/>
      <c r="H14" s="4"/>
      <c r="I14" s="4"/>
      <c r="J14" s="4"/>
      <c r="K14" s="6"/>
      <c r="L14" s="1205"/>
      <c r="M14" s="1205"/>
      <c r="N14" s="1205"/>
      <c r="O14" s="1205"/>
      <c r="P14" s="1205"/>
      <c r="Q14" s="1205"/>
    </row>
    <row r="15" spans="1:17" ht="9" customHeight="1" x14ac:dyDescent="0.2">
      <c r="G15" s="4"/>
      <c r="H15" s="4"/>
      <c r="I15" s="4"/>
      <c r="J15" s="4"/>
      <c r="K15" s="6"/>
      <c r="L15" s="1205"/>
      <c r="M15" s="1205"/>
      <c r="N15" s="1205"/>
      <c r="O15" s="1205"/>
      <c r="P15" s="1205"/>
      <c r="Q15" s="1205"/>
    </row>
    <row r="16" spans="1:17" x14ac:dyDescent="0.2">
      <c r="A16" s="1" t="s">
        <v>678</v>
      </c>
      <c r="G16" s="4"/>
      <c r="H16" s="4"/>
      <c r="I16" s="4"/>
      <c r="J16" s="4"/>
      <c r="K16" s="6"/>
      <c r="L16" s="1205"/>
      <c r="M16" s="1205"/>
      <c r="N16" s="1205"/>
      <c r="O16" s="1205"/>
      <c r="P16" s="1205"/>
      <c r="Q16" s="1205"/>
    </row>
    <row r="17" spans="1:34" x14ac:dyDescent="0.2">
      <c r="A17" s="200"/>
      <c r="B17" s="200"/>
      <c r="C17" s="200"/>
      <c r="D17" s="200"/>
      <c r="E17" s="201"/>
      <c r="F17" s="201"/>
      <c r="G17" s="202"/>
      <c r="H17" s="202"/>
      <c r="I17" s="202"/>
      <c r="J17" s="202"/>
      <c r="K17" s="950"/>
      <c r="L17" s="202"/>
      <c r="M17" s="203"/>
      <c r="N17" s="203"/>
      <c r="O17" s="200"/>
      <c r="P17" s="200"/>
      <c r="Q17" s="200"/>
    </row>
    <row r="18" spans="1:34" x14ac:dyDescent="0.2">
      <c r="A18" s="1"/>
    </row>
    <row r="19" spans="1:34" ht="57.95" customHeight="1" x14ac:dyDescent="0.2">
      <c r="A19" s="8"/>
      <c r="E19" s="207" t="s">
        <v>467</v>
      </c>
      <c r="G19" s="666"/>
      <c r="H19" s="666"/>
      <c r="I19" s="666"/>
      <c r="J19" s="666"/>
      <c r="K19" s="666"/>
      <c r="L19" s="666"/>
      <c r="M19" s="666"/>
      <c r="N19" s="666"/>
      <c r="O19" s="268"/>
      <c r="P19" s="271" t="s">
        <v>225</v>
      </c>
      <c r="Q19" s="269" t="s">
        <v>226</v>
      </c>
    </row>
    <row r="20" spans="1:34" ht="48" x14ac:dyDescent="0.2">
      <c r="E20" s="207" t="s">
        <v>679</v>
      </c>
      <c r="F20" s="9"/>
      <c r="G20" s="512"/>
      <c r="H20" s="512"/>
      <c r="I20" s="512"/>
      <c r="J20" s="512"/>
      <c r="K20" s="512"/>
      <c r="L20" s="512"/>
      <c r="M20" s="512"/>
      <c r="N20" s="512"/>
      <c r="O20" s="267" t="s">
        <v>10</v>
      </c>
      <c r="P20" s="272" t="s">
        <v>737</v>
      </c>
      <c r="Q20" s="270" t="s">
        <v>738</v>
      </c>
    </row>
    <row r="21" spans="1:34" x14ac:dyDescent="0.2">
      <c r="A21" s="1" t="s">
        <v>851</v>
      </c>
      <c r="E21" s="207"/>
      <c r="F21" s="9"/>
      <c r="G21" s="208"/>
      <c r="H21" s="208"/>
      <c r="I21" s="208"/>
      <c r="J21" s="208"/>
      <c r="K21" s="208"/>
      <c r="L21" s="208"/>
      <c r="M21" s="208"/>
      <c r="N21" s="208"/>
      <c r="O21" s="208"/>
      <c r="P21" s="208"/>
      <c r="Q21" s="208"/>
    </row>
    <row r="22" spans="1:34" ht="66" customHeight="1" x14ac:dyDescent="0.2">
      <c r="A22" s="1"/>
      <c r="E22" s="9" t="s">
        <v>333</v>
      </c>
      <c r="F22" s="9"/>
      <c r="G22" s="199"/>
      <c r="H22" s="199"/>
      <c r="I22" s="199"/>
      <c r="J22" s="199"/>
      <c r="K22" s="199"/>
      <c r="L22" s="199"/>
      <c r="M22" s="199"/>
      <c r="N22" s="199"/>
      <c r="O22" s="208"/>
      <c r="P22" s="199"/>
      <c r="Q22" s="199"/>
    </row>
    <row r="23" spans="1:34" s="10" customFormat="1" x14ac:dyDescent="0.2">
      <c r="A23" s="1" t="s">
        <v>479</v>
      </c>
      <c r="E23" s="11"/>
      <c r="F23" s="11"/>
      <c r="G23" s="12"/>
      <c r="H23" s="12"/>
      <c r="I23" s="12"/>
      <c r="J23" s="12"/>
      <c r="K23" s="12"/>
      <c r="L23" s="12"/>
      <c r="M23" s="12"/>
      <c r="N23" s="12"/>
      <c r="O23" s="16"/>
      <c r="P23" s="12"/>
      <c r="Q23" s="16"/>
      <c r="R23" s="13"/>
      <c r="S23" s="13"/>
      <c r="T23" s="13"/>
      <c r="U23" s="13"/>
      <c r="V23" s="13"/>
      <c r="W23" s="13"/>
      <c r="X23" s="13"/>
      <c r="Y23" s="13"/>
      <c r="Z23" s="13"/>
      <c r="AA23" s="13"/>
      <c r="AB23" s="13"/>
      <c r="AC23" s="13"/>
      <c r="AD23" s="13"/>
      <c r="AE23" s="13"/>
      <c r="AF23" s="13"/>
      <c r="AG23" s="13"/>
      <c r="AH23" s="13"/>
    </row>
    <row r="24" spans="1:34" s="10" customFormat="1" x14ac:dyDescent="0.2">
      <c r="A24" s="18" t="s">
        <v>77</v>
      </c>
      <c r="E24" s="11" t="s">
        <v>223</v>
      </c>
      <c r="F24" s="14"/>
      <c r="G24" s="29"/>
      <c r="H24" s="29"/>
      <c r="I24" s="29"/>
      <c r="J24" s="29"/>
      <c r="K24" s="29"/>
      <c r="L24" s="29"/>
      <c r="M24" s="29"/>
      <c r="N24" s="29"/>
      <c r="O24" s="194">
        <f>SUM(G24:N24)</f>
        <v>0</v>
      </c>
      <c r="P24" s="29"/>
      <c r="Q24" s="194">
        <f t="shared" ref="Q24:Q29" si="0">SUM(O24:P24)</f>
        <v>0</v>
      </c>
      <c r="R24" s="13"/>
      <c r="S24" s="13"/>
      <c r="T24" s="13"/>
      <c r="U24" s="13"/>
      <c r="V24" s="13"/>
      <c r="W24" s="13"/>
      <c r="X24" s="13"/>
      <c r="Y24" s="13"/>
      <c r="Z24" s="13"/>
      <c r="AA24" s="13"/>
      <c r="AB24" s="13"/>
      <c r="AC24" s="13"/>
      <c r="AD24" s="13"/>
      <c r="AE24" s="13"/>
      <c r="AF24" s="13"/>
      <c r="AG24" s="13"/>
    </row>
    <row r="25" spans="1:34" s="10" customFormat="1" x14ac:dyDescent="0.2">
      <c r="A25" s="18" t="s">
        <v>744</v>
      </c>
      <c r="E25" s="11" t="s">
        <v>223</v>
      </c>
      <c r="F25" s="14"/>
      <c r="G25" s="29"/>
      <c r="H25" s="29"/>
      <c r="I25" s="29"/>
      <c r="J25" s="29"/>
      <c r="K25" s="29"/>
      <c r="L25" s="29"/>
      <c r="M25" s="29"/>
      <c r="N25" s="29"/>
      <c r="O25" s="194">
        <f t="shared" ref="O25:O36" si="1">SUM(G25:N25)</f>
        <v>0</v>
      </c>
      <c r="P25" s="29"/>
      <c r="Q25" s="194">
        <f t="shared" si="0"/>
        <v>0</v>
      </c>
      <c r="R25" s="13"/>
      <c r="S25" s="13"/>
      <c r="T25" s="13"/>
      <c r="U25" s="13"/>
      <c r="V25" s="13"/>
      <c r="W25" s="13"/>
      <c r="X25" s="13"/>
      <c r="Y25" s="13"/>
      <c r="Z25" s="13"/>
      <c r="AA25" s="13"/>
      <c r="AB25" s="13"/>
      <c r="AC25" s="13"/>
      <c r="AD25" s="13"/>
      <c r="AE25" s="13"/>
      <c r="AF25" s="13"/>
      <c r="AG25" s="13"/>
    </row>
    <row r="26" spans="1:34" s="10" customFormat="1" x14ac:dyDescent="0.2">
      <c r="A26" s="18" t="s">
        <v>765</v>
      </c>
      <c r="E26" s="11" t="s">
        <v>736</v>
      </c>
      <c r="F26" s="14"/>
      <c r="G26" s="29"/>
      <c r="H26" s="29"/>
      <c r="I26" s="29"/>
      <c r="J26" s="29"/>
      <c r="K26" s="29"/>
      <c r="L26" s="29"/>
      <c r="M26" s="29"/>
      <c r="N26" s="29"/>
      <c r="O26" s="194">
        <f t="shared" si="1"/>
        <v>0</v>
      </c>
      <c r="P26" s="29"/>
      <c r="Q26" s="194">
        <f t="shared" si="0"/>
        <v>0</v>
      </c>
      <c r="R26" s="13"/>
      <c r="S26" s="13"/>
      <c r="T26" s="13"/>
      <c r="U26" s="13"/>
      <c r="V26" s="13"/>
      <c r="W26" s="13"/>
      <c r="X26" s="13"/>
      <c r="Y26" s="13"/>
      <c r="Z26" s="13"/>
      <c r="AA26" s="13"/>
      <c r="AB26" s="13"/>
      <c r="AC26" s="13"/>
      <c r="AD26" s="13"/>
      <c r="AE26" s="13"/>
      <c r="AF26" s="13"/>
      <c r="AG26" s="13"/>
    </row>
    <row r="27" spans="1:34" s="10" customFormat="1" x14ac:dyDescent="0.2">
      <c r="A27" s="18" t="s">
        <v>745</v>
      </c>
      <c r="E27" s="11" t="s">
        <v>520</v>
      </c>
      <c r="F27" s="14"/>
      <c r="G27" s="29"/>
      <c r="H27" s="29"/>
      <c r="I27" s="29"/>
      <c r="J27" s="29"/>
      <c r="K27" s="29"/>
      <c r="L27" s="29"/>
      <c r="M27" s="29"/>
      <c r="N27" s="29"/>
      <c r="O27" s="194">
        <f t="shared" si="1"/>
        <v>0</v>
      </c>
      <c r="P27" s="29"/>
      <c r="Q27" s="194">
        <f t="shared" si="0"/>
        <v>0</v>
      </c>
      <c r="R27" s="13"/>
      <c r="S27" s="13"/>
      <c r="T27" s="13"/>
      <c r="U27" s="13"/>
      <c r="V27" s="13"/>
      <c r="W27" s="13"/>
      <c r="X27" s="13"/>
      <c r="Y27" s="13"/>
      <c r="Z27" s="13"/>
      <c r="AA27" s="13"/>
      <c r="AB27" s="13"/>
      <c r="AC27" s="13"/>
      <c r="AD27" s="13"/>
      <c r="AE27" s="13"/>
      <c r="AF27" s="13"/>
      <c r="AG27" s="13"/>
    </row>
    <row r="28" spans="1:34" s="10" customFormat="1" x14ac:dyDescent="0.2">
      <c r="A28" s="10" t="s">
        <v>746</v>
      </c>
      <c r="E28" s="11"/>
      <c r="F28" s="11"/>
      <c r="G28" s="29"/>
      <c r="H28" s="29"/>
      <c r="I28" s="29"/>
      <c r="J28" s="29"/>
      <c r="K28" s="29"/>
      <c r="L28" s="29"/>
      <c r="M28" s="29"/>
      <c r="N28" s="29"/>
      <c r="O28" s="194">
        <f t="shared" si="1"/>
        <v>0</v>
      </c>
      <c r="P28" s="29"/>
      <c r="Q28" s="194">
        <f t="shared" si="0"/>
        <v>0</v>
      </c>
      <c r="R28" s="13"/>
      <c r="S28" s="13"/>
      <c r="T28" s="13"/>
      <c r="U28" s="13"/>
      <c r="V28" s="13"/>
      <c r="W28" s="13"/>
      <c r="X28" s="13"/>
      <c r="Y28" s="13"/>
      <c r="Z28" s="13"/>
      <c r="AA28" s="13"/>
      <c r="AB28" s="13"/>
      <c r="AC28" s="13"/>
      <c r="AD28" s="13"/>
      <c r="AE28" s="13"/>
      <c r="AF28" s="13"/>
      <c r="AG28" s="13"/>
    </row>
    <row r="29" spans="1:34" s="10" customFormat="1" x14ac:dyDescent="0.2">
      <c r="A29" s="10" t="s">
        <v>462</v>
      </c>
      <c r="E29" s="11"/>
      <c r="F29" s="11"/>
      <c r="G29" s="29"/>
      <c r="H29" s="29"/>
      <c r="I29" s="29"/>
      <c r="J29" s="29"/>
      <c r="K29" s="29"/>
      <c r="L29" s="29"/>
      <c r="M29" s="29"/>
      <c r="N29" s="29"/>
      <c r="O29" s="194">
        <f t="shared" si="1"/>
        <v>0</v>
      </c>
      <c r="P29" s="29"/>
      <c r="Q29" s="194">
        <f t="shared" si="0"/>
        <v>0</v>
      </c>
      <c r="R29" s="13"/>
      <c r="S29" s="13"/>
      <c r="T29" s="13"/>
      <c r="U29" s="13"/>
      <c r="V29" s="13"/>
      <c r="W29" s="13"/>
      <c r="X29" s="13"/>
      <c r="Y29" s="13"/>
      <c r="Z29" s="13"/>
      <c r="AA29" s="13"/>
      <c r="AB29" s="13"/>
      <c r="AC29" s="13"/>
      <c r="AD29" s="13"/>
      <c r="AE29" s="13"/>
      <c r="AF29" s="13"/>
      <c r="AG29" s="13"/>
    </row>
    <row r="30" spans="1:34" s="10" customFormat="1" x14ac:dyDescent="0.2">
      <c r="E30" s="11"/>
      <c r="F30" s="11"/>
      <c r="G30" s="12"/>
      <c r="H30" s="12"/>
      <c r="I30" s="12"/>
      <c r="J30" s="12"/>
      <c r="K30" s="12"/>
      <c r="L30" s="12"/>
      <c r="M30" s="12"/>
      <c r="N30" s="12"/>
      <c r="O30" s="16"/>
      <c r="P30" s="12"/>
      <c r="Q30" s="16"/>
      <c r="R30" s="13"/>
      <c r="S30" s="13"/>
      <c r="T30" s="13"/>
      <c r="U30" s="13"/>
      <c r="V30" s="13"/>
      <c r="W30" s="13"/>
      <c r="X30" s="13"/>
      <c r="Y30" s="13"/>
      <c r="Z30" s="13"/>
      <c r="AA30" s="13"/>
      <c r="AB30" s="13"/>
      <c r="AC30" s="13"/>
      <c r="AD30" s="13"/>
      <c r="AE30" s="13"/>
      <c r="AF30" s="13"/>
      <c r="AG30" s="13"/>
    </row>
    <row r="31" spans="1:34" s="10" customFormat="1" x14ac:dyDescent="0.2">
      <c r="A31" s="18" t="s">
        <v>766</v>
      </c>
      <c r="E31" s="11"/>
      <c r="F31" s="14"/>
      <c r="G31" s="29"/>
      <c r="H31" s="29"/>
      <c r="I31" s="29"/>
      <c r="J31" s="29"/>
      <c r="K31" s="29"/>
      <c r="L31" s="29"/>
      <c r="M31" s="29"/>
      <c r="N31" s="29"/>
      <c r="O31" s="194">
        <f t="shared" si="1"/>
        <v>0</v>
      </c>
      <c r="P31" s="29"/>
      <c r="Q31" s="194">
        <f t="shared" ref="Q31:Q36" si="2">SUM(O31:P31)</f>
        <v>0</v>
      </c>
      <c r="R31" s="13"/>
      <c r="S31" s="13"/>
      <c r="T31" s="13"/>
      <c r="U31" s="13"/>
      <c r="V31" s="13"/>
      <c r="W31" s="13"/>
      <c r="X31" s="13"/>
      <c r="Y31" s="13"/>
      <c r="Z31" s="13"/>
      <c r="AA31" s="13"/>
      <c r="AB31" s="13"/>
      <c r="AC31" s="13"/>
      <c r="AD31" s="13"/>
      <c r="AE31" s="13"/>
      <c r="AF31" s="13"/>
      <c r="AG31" s="13"/>
    </row>
    <row r="32" spans="1:34" s="10" customFormat="1" x14ac:dyDescent="0.2">
      <c r="A32" s="18" t="s">
        <v>483</v>
      </c>
      <c r="E32" s="11"/>
      <c r="F32" s="11"/>
      <c r="G32" s="29"/>
      <c r="H32" s="29"/>
      <c r="I32" s="29"/>
      <c r="J32" s="29"/>
      <c r="K32" s="29"/>
      <c r="L32" s="29"/>
      <c r="M32" s="29"/>
      <c r="N32" s="29"/>
      <c r="O32" s="194">
        <f t="shared" si="1"/>
        <v>0</v>
      </c>
      <c r="P32" s="29"/>
      <c r="Q32" s="194">
        <f t="shared" si="2"/>
        <v>0</v>
      </c>
      <c r="R32" s="13"/>
      <c r="S32" s="13"/>
      <c r="T32" s="13"/>
      <c r="U32" s="13"/>
      <c r="V32" s="13"/>
      <c r="W32" s="13"/>
      <c r="X32" s="13"/>
      <c r="Y32" s="13"/>
      <c r="Z32" s="13"/>
      <c r="AA32" s="13"/>
      <c r="AB32" s="13"/>
      <c r="AC32" s="13"/>
      <c r="AD32" s="13"/>
      <c r="AE32" s="13"/>
      <c r="AF32" s="13"/>
      <c r="AG32" s="13"/>
    </row>
    <row r="33" spans="1:33" s="10" customFormat="1" x14ac:dyDescent="0.2">
      <c r="E33" s="11"/>
      <c r="F33" s="11"/>
      <c r="G33" s="12"/>
      <c r="H33" s="12"/>
      <c r="I33" s="12"/>
      <c r="J33" s="12"/>
      <c r="K33" s="12"/>
      <c r="L33" s="12"/>
      <c r="M33" s="12"/>
      <c r="N33" s="12"/>
      <c r="O33" s="16"/>
      <c r="P33" s="12"/>
      <c r="Q33" s="16"/>
      <c r="R33" s="13"/>
      <c r="S33" s="13"/>
      <c r="T33" s="13"/>
      <c r="U33" s="13"/>
      <c r="V33" s="13"/>
      <c r="W33" s="13"/>
      <c r="X33" s="13"/>
      <c r="Y33" s="13"/>
      <c r="Z33" s="13"/>
      <c r="AA33" s="13"/>
      <c r="AB33" s="13"/>
      <c r="AC33" s="13"/>
      <c r="AD33" s="13"/>
      <c r="AE33" s="13"/>
      <c r="AF33" s="13"/>
      <c r="AG33" s="13"/>
    </row>
    <row r="34" spans="1:33" s="10" customFormat="1" x14ac:dyDescent="0.2">
      <c r="A34" s="10" t="s">
        <v>78</v>
      </c>
      <c r="E34" s="11"/>
      <c r="F34" s="11"/>
      <c r="G34" s="29"/>
      <c r="H34" s="29"/>
      <c r="I34" s="29"/>
      <c r="J34" s="29"/>
      <c r="K34" s="29"/>
      <c r="L34" s="29"/>
      <c r="M34" s="29"/>
      <c r="N34" s="29"/>
      <c r="O34" s="194">
        <f t="shared" si="1"/>
        <v>0</v>
      </c>
      <c r="P34" s="29"/>
      <c r="Q34" s="194">
        <f t="shared" si="2"/>
        <v>0</v>
      </c>
      <c r="R34" s="13"/>
      <c r="S34" s="13"/>
      <c r="T34" s="13"/>
      <c r="U34" s="13"/>
      <c r="V34" s="13"/>
      <c r="W34" s="13"/>
      <c r="X34" s="13"/>
      <c r="Y34" s="13"/>
      <c r="Z34" s="13"/>
      <c r="AA34" s="13"/>
      <c r="AB34" s="13"/>
      <c r="AC34" s="13"/>
      <c r="AD34" s="13"/>
      <c r="AE34" s="13"/>
      <c r="AF34" s="13"/>
      <c r="AG34" s="13"/>
    </row>
    <row r="35" spans="1:33" s="10" customFormat="1" hidden="1" x14ac:dyDescent="0.2">
      <c r="A35" s="211"/>
      <c r="E35" s="11"/>
      <c r="F35" s="11"/>
      <c r="G35" s="29"/>
      <c r="H35" s="29"/>
      <c r="I35" s="29"/>
      <c r="J35" s="29"/>
      <c r="K35" s="29"/>
      <c r="L35" s="29"/>
      <c r="M35" s="29"/>
      <c r="N35" s="29"/>
      <c r="O35" s="209"/>
      <c r="P35" s="872"/>
      <c r="Q35" s="209"/>
      <c r="R35" s="13"/>
      <c r="S35" s="13"/>
      <c r="T35" s="13"/>
      <c r="U35" s="13"/>
      <c r="V35" s="13"/>
      <c r="W35" s="13"/>
      <c r="X35" s="13"/>
      <c r="Y35" s="13"/>
      <c r="Z35" s="13"/>
      <c r="AA35" s="13"/>
      <c r="AB35" s="13"/>
      <c r="AC35" s="13"/>
      <c r="AD35" s="13"/>
      <c r="AE35" s="13"/>
      <c r="AF35" s="13"/>
      <c r="AG35" s="13"/>
    </row>
    <row r="36" spans="1:33" s="10" customFormat="1" x14ac:dyDescent="0.2">
      <c r="A36" s="10" t="s">
        <v>485</v>
      </c>
      <c r="E36" s="2" t="s">
        <v>1294</v>
      </c>
      <c r="F36" s="11"/>
      <c r="G36" s="29"/>
      <c r="H36" s="29"/>
      <c r="I36" s="29"/>
      <c r="J36" s="29"/>
      <c r="K36" s="29"/>
      <c r="L36" s="29"/>
      <c r="M36" s="29"/>
      <c r="N36" s="29"/>
      <c r="O36" s="194">
        <f t="shared" si="1"/>
        <v>0</v>
      </c>
      <c r="P36" s="29"/>
      <c r="Q36" s="194">
        <f t="shared" si="2"/>
        <v>0</v>
      </c>
      <c r="R36" s="13"/>
      <c r="S36" s="13"/>
      <c r="T36" s="13"/>
      <c r="U36" s="13"/>
      <c r="V36" s="13"/>
      <c r="W36" s="13"/>
      <c r="X36" s="13"/>
      <c r="Y36" s="13"/>
      <c r="Z36" s="13"/>
      <c r="AA36" s="13"/>
      <c r="AB36" s="13"/>
      <c r="AC36" s="13"/>
      <c r="AD36" s="13"/>
      <c r="AE36" s="13"/>
      <c r="AF36" s="13"/>
      <c r="AG36" s="13"/>
    </row>
    <row r="37" spans="1:33" s="10" customFormat="1" x14ac:dyDescent="0.2">
      <c r="C37" s="18" t="s">
        <v>486</v>
      </c>
      <c r="E37" s="11"/>
      <c r="F37" s="11"/>
      <c r="G37" s="15">
        <f>SUM(G34:G36)</f>
        <v>0</v>
      </c>
      <c r="H37" s="15">
        <f>SUM(H34:H36)</f>
        <v>0</v>
      </c>
      <c r="I37" s="15">
        <f t="shared" ref="I37:N37" si="3">SUM(I34:I36)</f>
        <v>0</v>
      </c>
      <c r="J37" s="15">
        <f t="shared" si="3"/>
        <v>0</v>
      </c>
      <c r="K37" s="15">
        <f t="shared" si="3"/>
        <v>0</v>
      </c>
      <c r="L37" s="15">
        <f t="shared" si="3"/>
        <v>0</v>
      </c>
      <c r="M37" s="15">
        <f t="shared" si="3"/>
        <v>0</v>
      </c>
      <c r="N37" s="15">
        <f t="shared" si="3"/>
        <v>0</v>
      </c>
      <c r="O37" s="15">
        <f>SUM(O34:O36)</f>
        <v>0</v>
      </c>
      <c r="P37" s="15">
        <f>SUM(P34:P36)</f>
        <v>0</v>
      </c>
      <c r="Q37" s="15">
        <f>SUM(Q34:Q36)</f>
        <v>0</v>
      </c>
    </row>
    <row r="38" spans="1:33" s="10" customFormat="1" ht="19.5" customHeight="1" x14ac:dyDescent="0.2">
      <c r="A38" s="688"/>
      <c r="B38" s="688"/>
      <c r="C38" s="688"/>
      <c r="D38" s="688"/>
      <c r="E38" s="688"/>
      <c r="F38" s="11"/>
      <c r="G38" s="17"/>
      <c r="H38" s="17"/>
      <c r="I38" s="17"/>
      <c r="J38" s="17"/>
      <c r="K38" s="17"/>
      <c r="L38" s="17"/>
      <c r="M38" s="17"/>
      <c r="N38" s="17"/>
      <c r="O38" s="209"/>
      <c r="P38" s="17"/>
      <c r="Q38" s="209"/>
    </row>
    <row r="39" spans="1:33" s="10" customFormat="1" x14ac:dyDescent="0.2">
      <c r="E39" s="11"/>
      <c r="F39" s="11"/>
      <c r="G39" s="17"/>
      <c r="H39" s="17"/>
      <c r="I39" s="17"/>
      <c r="J39" s="17"/>
      <c r="K39" s="17"/>
      <c r="L39" s="17"/>
      <c r="M39" s="17"/>
      <c r="N39" s="17"/>
      <c r="O39" s="209"/>
      <c r="P39" s="17"/>
      <c r="Q39" s="209"/>
    </row>
    <row r="40" spans="1:33" s="10" customFormat="1" x14ac:dyDescent="0.2">
      <c r="A40" s="18" t="s">
        <v>747</v>
      </c>
      <c r="E40" s="274" t="s">
        <v>258</v>
      </c>
      <c r="F40" s="14"/>
      <c r="G40" s="29"/>
      <c r="H40" s="29"/>
      <c r="I40" s="29"/>
      <c r="J40" s="29"/>
      <c r="K40" s="29"/>
      <c r="L40" s="29"/>
      <c r="M40" s="29"/>
      <c r="N40" s="29"/>
      <c r="O40" s="194">
        <f>SUM(G40:N40)</f>
        <v>0</v>
      </c>
      <c r="P40" s="29"/>
      <c r="Q40" s="194">
        <f>SUM(O40:P40)</f>
        <v>0</v>
      </c>
      <c r="R40" s="13"/>
      <c r="S40" s="13"/>
      <c r="T40" s="13"/>
      <c r="U40" s="13"/>
      <c r="V40" s="13"/>
      <c r="W40" s="13"/>
      <c r="X40" s="13"/>
      <c r="Y40" s="13"/>
      <c r="Z40" s="13"/>
      <c r="AA40" s="13"/>
      <c r="AB40" s="13"/>
      <c r="AC40" s="13"/>
      <c r="AD40" s="13"/>
      <c r="AE40" s="13"/>
      <c r="AF40" s="13"/>
      <c r="AG40" s="13"/>
    </row>
    <row r="41" spans="1:33" s="10" customFormat="1" x14ac:dyDescent="0.2">
      <c r="A41" s="18" t="s">
        <v>496</v>
      </c>
      <c r="E41" s="274" t="s">
        <v>258</v>
      </c>
      <c r="F41" s="14"/>
      <c r="G41" s="29"/>
      <c r="H41" s="29"/>
      <c r="I41" s="29"/>
      <c r="J41" s="29"/>
      <c r="K41" s="29"/>
      <c r="L41" s="29"/>
      <c r="M41" s="29"/>
      <c r="N41" s="29"/>
      <c r="O41" s="194">
        <f>SUM(G41:N41)</f>
        <v>0</v>
      </c>
      <c r="P41" s="29"/>
      <c r="Q41" s="194">
        <f>SUM(O41:P41)</f>
        <v>0</v>
      </c>
      <c r="R41" s="13"/>
      <c r="S41" s="13"/>
      <c r="T41" s="13"/>
      <c r="U41" s="13"/>
      <c r="V41" s="13"/>
      <c r="W41" s="13"/>
      <c r="X41" s="13"/>
      <c r="Y41" s="13"/>
      <c r="Z41" s="13"/>
      <c r="AA41" s="13"/>
      <c r="AB41" s="13"/>
      <c r="AC41" s="13"/>
      <c r="AD41" s="13"/>
      <c r="AE41" s="13"/>
      <c r="AF41" s="13"/>
      <c r="AG41" s="13"/>
    </row>
    <row r="42" spans="1:33" s="10" customFormat="1" x14ac:dyDescent="0.2">
      <c r="A42" s="18" t="s">
        <v>1718</v>
      </c>
      <c r="C42" s="18"/>
      <c r="D42" s="18"/>
      <c r="E42" s="493" t="s">
        <v>1834</v>
      </c>
      <c r="F42" s="11"/>
      <c r="G42" s="29"/>
      <c r="H42" s="29"/>
      <c r="I42" s="29"/>
      <c r="J42" s="29"/>
      <c r="K42" s="29"/>
      <c r="L42" s="29"/>
      <c r="M42" s="29"/>
      <c r="N42" s="29"/>
      <c r="O42" s="194">
        <f>SUM(G42:N42)</f>
        <v>0</v>
      </c>
      <c r="P42" s="29"/>
      <c r="Q42" s="194">
        <f>SUM(O42:P42)</f>
        <v>0</v>
      </c>
      <c r="R42" s="13"/>
      <c r="S42" s="13"/>
      <c r="T42" s="13"/>
      <c r="U42" s="13"/>
      <c r="V42" s="13"/>
      <c r="W42" s="13"/>
      <c r="X42" s="13"/>
      <c r="Y42" s="13"/>
      <c r="Z42" s="13"/>
      <c r="AA42" s="13"/>
      <c r="AB42" s="13"/>
      <c r="AC42" s="13"/>
      <c r="AD42" s="13"/>
      <c r="AE42" s="13"/>
      <c r="AF42" s="13"/>
      <c r="AG42" s="13"/>
    </row>
    <row r="43" spans="1:33" s="10" customFormat="1" x14ac:dyDescent="0.2">
      <c r="A43" s="18" t="s">
        <v>190</v>
      </c>
      <c r="E43" s="493" t="s">
        <v>1295</v>
      </c>
      <c r="F43" s="14"/>
      <c r="G43" s="29"/>
      <c r="H43" s="29"/>
      <c r="I43" s="29"/>
      <c r="J43" s="29"/>
      <c r="K43" s="29"/>
      <c r="L43" s="29"/>
      <c r="M43" s="29"/>
      <c r="N43" s="29"/>
      <c r="O43" s="194">
        <f>SUM(G43:N43)</f>
        <v>0</v>
      </c>
      <c r="P43" s="29"/>
      <c r="Q43" s="194">
        <f>SUM(O43:P43)</f>
        <v>0</v>
      </c>
      <c r="R43" s="13"/>
      <c r="S43" s="13"/>
      <c r="T43" s="13"/>
      <c r="U43" s="13"/>
      <c r="V43" s="13"/>
      <c r="W43" s="13"/>
      <c r="X43" s="13"/>
      <c r="Y43" s="13"/>
      <c r="Z43" s="13"/>
      <c r="AA43" s="13"/>
      <c r="AB43" s="13"/>
      <c r="AC43" s="13"/>
      <c r="AD43" s="13"/>
      <c r="AE43" s="13"/>
      <c r="AF43" s="13"/>
      <c r="AG43" s="13"/>
    </row>
    <row r="44" spans="1:33" s="10" customFormat="1" x14ac:dyDescent="0.2">
      <c r="E44" s="11"/>
      <c r="F44" s="11"/>
      <c r="G44" s="12"/>
      <c r="H44" s="12"/>
      <c r="I44" s="12"/>
      <c r="J44" s="12"/>
      <c r="K44" s="12"/>
      <c r="L44" s="12"/>
      <c r="M44" s="12"/>
      <c r="N44" s="12"/>
      <c r="O44" s="16"/>
      <c r="P44" s="12"/>
      <c r="Q44" s="16"/>
      <c r="R44" s="13"/>
      <c r="S44" s="13"/>
      <c r="T44" s="13"/>
      <c r="U44" s="13"/>
      <c r="V44" s="13"/>
      <c r="W44" s="13"/>
      <c r="X44" s="13"/>
      <c r="Y44" s="13"/>
      <c r="Z44" s="13"/>
      <c r="AA44" s="13"/>
      <c r="AB44" s="13"/>
      <c r="AC44" s="13"/>
      <c r="AD44" s="13"/>
      <c r="AE44" s="13"/>
      <c r="AF44" s="13"/>
      <c r="AG44" s="13"/>
    </row>
    <row r="45" spans="1:33" s="10" customFormat="1" hidden="1" x14ac:dyDescent="0.2">
      <c r="E45" s="11"/>
      <c r="F45" s="11"/>
      <c r="G45" s="12"/>
      <c r="H45" s="12"/>
      <c r="I45" s="12"/>
      <c r="J45" s="12"/>
      <c r="K45" s="12"/>
      <c r="L45" s="12"/>
      <c r="M45" s="12"/>
      <c r="N45" s="12"/>
      <c r="O45" s="16"/>
      <c r="P45" s="12"/>
      <c r="Q45" s="16"/>
      <c r="R45" s="13"/>
      <c r="S45" s="13"/>
      <c r="T45" s="13"/>
      <c r="U45" s="13"/>
      <c r="V45" s="13"/>
      <c r="W45" s="13"/>
      <c r="X45" s="13"/>
      <c r="Y45" s="13"/>
      <c r="Z45" s="13"/>
      <c r="AA45" s="13"/>
      <c r="AB45" s="13"/>
      <c r="AC45" s="13"/>
      <c r="AD45" s="13"/>
      <c r="AE45" s="13"/>
      <c r="AF45" s="13"/>
      <c r="AG45" s="13"/>
    </row>
    <row r="46" spans="1:33" s="10" customFormat="1" hidden="1" x14ac:dyDescent="0.2">
      <c r="E46" s="11"/>
      <c r="F46" s="11"/>
      <c r="G46" s="11"/>
      <c r="H46" s="11"/>
      <c r="I46" s="11"/>
      <c r="J46" s="11"/>
      <c r="K46" s="11"/>
      <c r="L46" s="11"/>
      <c r="M46" s="11"/>
      <c r="N46" s="11"/>
      <c r="O46" s="11"/>
      <c r="P46" s="11"/>
      <c r="Q46" s="11"/>
      <c r="R46" s="13"/>
      <c r="S46" s="13"/>
      <c r="T46" s="13"/>
      <c r="U46" s="13"/>
      <c r="V46" s="13"/>
      <c r="W46" s="13"/>
      <c r="X46" s="13"/>
      <c r="Y46" s="13"/>
      <c r="Z46" s="13"/>
      <c r="AA46" s="13"/>
      <c r="AB46" s="13"/>
      <c r="AC46" s="13"/>
      <c r="AD46" s="13"/>
      <c r="AE46" s="13"/>
      <c r="AF46" s="13"/>
      <c r="AG46" s="13"/>
    </row>
    <row r="47" spans="1:33" s="10" customFormat="1" hidden="1" x14ac:dyDescent="0.2">
      <c r="E47" s="11"/>
      <c r="F47" s="11"/>
      <c r="G47" s="11"/>
      <c r="H47" s="11"/>
      <c r="I47" s="11"/>
      <c r="J47" s="11"/>
      <c r="K47" s="11"/>
      <c r="L47" s="11"/>
      <c r="M47" s="11"/>
      <c r="N47" s="11"/>
      <c r="O47" s="11"/>
      <c r="P47" s="11"/>
      <c r="Q47" s="11"/>
      <c r="R47" s="13"/>
      <c r="S47" s="13"/>
      <c r="T47" s="13"/>
      <c r="U47" s="13"/>
      <c r="V47" s="13"/>
      <c r="W47" s="13"/>
      <c r="X47" s="13"/>
      <c r="Y47" s="13"/>
      <c r="Z47" s="13"/>
      <c r="AA47" s="13"/>
      <c r="AB47" s="13"/>
      <c r="AC47" s="13"/>
      <c r="AD47" s="13"/>
      <c r="AE47" s="13"/>
      <c r="AF47" s="13"/>
      <c r="AG47" s="13"/>
    </row>
    <row r="48" spans="1:33" s="10" customFormat="1" ht="23.25" hidden="1" customHeight="1" x14ac:dyDescent="0.2">
      <c r="B48" s="1164"/>
      <c r="C48" s="1164"/>
      <c r="D48" s="1164"/>
      <c r="E48" s="11"/>
      <c r="F48" s="11"/>
      <c r="G48" s="11"/>
      <c r="H48" s="11"/>
      <c r="I48" s="11"/>
      <c r="J48" s="11"/>
      <c r="K48" s="11"/>
      <c r="L48" s="11"/>
      <c r="M48" s="11"/>
      <c r="N48" s="11"/>
      <c r="O48" s="11"/>
      <c r="P48" s="11"/>
      <c r="Q48" s="11"/>
      <c r="R48" s="13"/>
      <c r="S48" s="13"/>
      <c r="T48" s="13"/>
      <c r="U48" s="13"/>
      <c r="V48" s="13"/>
      <c r="W48" s="13"/>
      <c r="X48" s="13"/>
      <c r="Y48" s="13"/>
      <c r="Z48" s="13"/>
      <c r="AA48" s="13"/>
      <c r="AB48" s="13"/>
      <c r="AC48" s="13"/>
      <c r="AD48" s="13"/>
      <c r="AE48" s="13"/>
      <c r="AF48" s="13"/>
      <c r="AG48" s="13"/>
    </row>
    <row r="49" spans="1:33" s="10" customFormat="1" hidden="1" x14ac:dyDescent="0.2">
      <c r="E49" s="11"/>
      <c r="F49" s="11"/>
      <c r="G49" s="11"/>
      <c r="H49" s="11"/>
      <c r="I49" s="11"/>
      <c r="J49" s="11"/>
      <c r="K49" s="11"/>
      <c r="L49" s="11"/>
      <c r="M49" s="11"/>
      <c r="N49" s="11"/>
      <c r="O49" s="11"/>
      <c r="P49" s="11"/>
      <c r="Q49" s="11"/>
      <c r="R49" s="13"/>
      <c r="S49" s="13"/>
      <c r="T49" s="13"/>
      <c r="U49" s="13"/>
      <c r="V49" s="13"/>
      <c r="W49" s="13"/>
      <c r="X49" s="13"/>
      <c r="Y49" s="13"/>
      <c r="Z49" s="13"/>
      <c r="AA49" s="13"/>
      <c r="AB49" s="13"/>
      <c r="AC49" s="13"/>
      <c r="AD49" s="13"/>
      <c r="AE49" s="13"/>
      <c r="AF49" s="13"/>
      <c r="AG49" s="13"/>
    </row>
    <row r="50" spans="1:33" s="10" customFormat="1" x14ac:dyDescent="0.2">
      <c r="A50" s="18" t="s">
        <v>1433</v>
      </c>
      <c r="C50" s="18"/>
      <c r="D50" s="18"/>
      <c r="E50" s="493" t="s">
        <v>1518</v>
      </c>
      <c r="F50" s="11"/>
      <c r="G50" s="29"/>
      <c r="H50" s="29"/>
      <c r="I50" s="29"/>
      <c r="J50" s="29"/>
      <c r="K50" s="29"/>
      <c r="L50" s="29"/>
      <c r="M50" s="29"/>
      <c r="N50" s="29"/>
      <c r="O50" s="194">
        <f>SUM(G50:N50)</f>
        <v>0</v>
      </c>
      <c r="P50" s="29"/>
      <c r="Q50" s="194">
        <f>SUM(O50:P50)</f>
        <v>0</v>
      </c>
      <c r="R50" s="13"/>
      <c r="S50" s="13"/>
      <c r="T50" s="13"/>
      <c r="U50" s="13"/>
      <c r="V50" s="13"/>
      <c r="W50" s="13"/>
      <c r="X50" s="13"/>
      <c r="Y50" s="13"/>
      <c r="Z50" s="13"/>
      <c r="AA50" s="13"/>
      <c r="AB50" s="13"/>
      <c r="AC50" s="13"/>
      <c r="AD50" s="13"/>
      <c r="AE50" s="13"/>
      <c r="AF50" s="13"/>
      <c r="AG50" s="13"/>
    </row>
    <row r="51" spans="1:33" s="10" customFormat="1" hidden="1" x14ac:dyDescent="0.2">
      <c r="E51" s="493" t="s">
        <v>1444</v>
      </c>
      <c r="F51" s="11"/>
      <c r="G51" s="17"/>
      <c r="H51" s="17"/>
      <c r="I51" s="17"/>
      <c r="J51" s="17"/>
      <c r="K51" s="17"/>
      <c r="L51" s="17"/>
      <c r="M51" s="17"/>
      <c r="N51" s="17"/>
      <c r="O51" s="209"/>
      <c r="P51" s="17"/>
      <c r="Q51" s="209"/>
      <c r="R51" s="13"/>
      <c r="S51" s="13"/>
      <c r="T51" s="13"/>
      <c r="U51" s="13"/>
      <c r="V51" s="13"/>
      <c r="W51" s="13"/>
      <c r="X51" s="13"/>
      <c r="Y51" s="13"/>
      <c r="Z51" s="13"/>
      <c r="AA51" s="13"/>
      <c r="AB51" s="13"/>
      <c r="AC51" s="13"/>
      <c r="AD51" s="13"/>
      <c r="AE51" s="13"/>
      <c r="AF51" s="13"/>
      <c r="AG51" s="13"/>
    </row>
    <row r="52" spans="1:33" s="10" customFormat="1" hidden="1" x14ac:dyDescent="0.2">
      <c r="E52" s="493" t="s">
        <v>1445</v>
      </c>
      <c r="F52" s="11"/>
      <c r="G52" s="11"/>
      <c r="H52" s="11"/>
      <c r="I52" s="11"/>
      <c r="J52" s="11"/>
      <c r="K52" s="11"/>
      <c r="L52" s="11"/>
      <c r="M52" s="11"/>
      <c r="N52" s="11"/>
      <c r="O52" s="11"/>
      <c r="P52" s="11"/>
      <c r="Q52" s="11"/>
      <c r="R52" s="13"/>
      <c r="S52" s="13"/>
      <c r="T52" s="13"/>
      <c r="U52" s="13"/>
      <c r="V52" s="13"/>
      <c r="W52" s="13"/>
      <c r="X52" s="13"/>
      <c r="Y52" s="13"/>
      <c r="Z52" s="13"/>
      <c r="AA52" s="13"/>
      <c r="AB52" s="13"/>
      <c r="AC52" s="13"/>
      <c r="AD52" s="13"/>
      <c r="AE52" s="13"/>
      <c r="AF52" s="13"/>
      <c r="AG52" s="13"/>
    </row>
    <row r="53" spans="1:33" s="10" customFormat="1" hidden="1" x14ac:dyDescent="0.2">
      <c r="E53" s="493" t="s">
        <v>1446</v>
      </c>
      <c r="F53" s="11"/>
      <c r="G53" s="11"/>
      <c r="H53" s="11"/>
      <c r="I53" s="11"/>
      <c r="J53" s="11"/>
      <c r="K53" s="11"/>
      <c r="L53" s="11"/>
      <c r="M53" s="11"/>
      <c r="N53" s="11"/>
      <c r="O53" s="11"/>
      <c r="P53" s="11"/>
      <c r="Q53" s="11"/>
      <c r="R53" s="13"/>
      <c r="S53" s="13"/>
      <c r="T53" s="13"/>
      <c r="U53" s="13"/>
      <c r="V53" s="13"/>
      <c r="W53" s="13"/>
      <c r="X53" s="13"/>
      <c r="Y53" s="13"/>
      <c r="Z53" s="13"/>
      <c r="AA53" s="13"/>
      <c r="AB53" s="13"/>
      <c r="AC53" s="13"/>
      <c r="AD53" s="13"/>
      <c r="AE53" s="13"/>
      <c r="AF53" s="13"/>
      <c r="AG53" s="13"/>
    </row>
    <row r="54" spans="1:33" s="10" customFormat="1" hidden="1" x14ac:dyDescent="0.2">
      <c r="E54" s="493" t="s">
        <v>1447</v>
      </c>
      <c r="F54" s="11"/>
      <c r="G54" s="11"/>
      <c r="H54" s="11"/>
      <c r="I54" s="11"/>
      <c r="J54" s="11"/>
      <c r="K54" s="11"/>
      <c r="L54" s="11"/>
      <c r="M54" s="11"/>
      <c r="N54" s="11"/>
      <c r="O54" s="11"/>
      <c r="P54" s="11"/>
      <c r="Q54" s="11"/>
      <c r="R54" s="13"/>
      <c r="S54" s="13"/>
      <c r="T54" s="13"/>
      <c r="U54" s="13"/>
      <c r="V54" s="13"/>
      <c r="W54" s="13"/>
      <c r="X54" s="13"/>
      <c r="Y54" s="13"/>
      <c r="Z54" s="13"/>
      <c r="AA54" s="13"/>
      <c r="AB54" s="13"/>
      <c r="AC54" s="13"/>
      <c r="AD54" s="13"/>
      <c r="AE54" s="13"/>
      <c r="AF54" s="13"/>
      <c r="AG54" s="13"/>
    </row>
    <row r="55" spans="1:33" s="10" customFormat="1" hidden="1" x14ac:dyDescent="0.2">
      <c r="E55" s="493" t="s">
        <v>1448</v>
      </c>
      <c r="F55" s="11"/>
      <c r="G55" s="11"/>
      <c r="H55" s="11"/>
      <c r="I55" s="11"/>
      <c r="J55" s="11"/>
      <c r="K55" s="11"/>
      <c r="L55" s="11"/>
      <c r="M55" s="11"/>
      <c r="N55" s="11"/>
      <c r="O55" s="11"/>
      <c r="P55" s="11"/>
      <c r="Q55" s="11"/>
      <c r="R55" s="13"/>
      <c r="S55" s="13"/>
      <c r="T55" s="13"/>
      <c r="U55" s="13"/>
      <c r="V55" s="13"/>
      <c r="W55" s="13"/>
      <c r="X55" s="13"/>
      <c r="Y55" s="13"/>
      <c r="Z55" s="13"/>
      <c r="AA55" s="13"/>
      <c r="AB55" s="13"/>
      <c r="AC55" s="13"/>
      <c r="AD55" s="13"/>
      <c r="AE55" s="13"/>
      <c r="AF55" s="13"/>
      <c r="AG55" s="13"/>
    </row>
    <row r="56" spans="1:33" s="10" customFormat="1" ht="24" hidden="1" customHeight="1" x14ac:dyDescent="0.2">
      <c r="B56" s="1164"/>
      <c r="C56" s="1164"/>
      <c r="D56" s="1164"/>
      <c r="E56" s="493" t="s">
        <v>1449</v>
      </c>
      <c r="F56" s="11"/>
      <c r="G56" s="11"/>
      <c r="H56" s="11"/>
      <c r="I56" s="11"/>
      <c r="J56" s="11"/>
      <c r="K56" s="11"/>
      <c r="L56" s="11"/>
      <c r="M56" s="11"/>
      <c r="N56" s="11"/>
      <c r="O56" s="11"/>
      <c r="P56" s="11"/>
      <c r="Q56" s="11"/>
      <c r="R56" s="13"/>
      <c r="S56" s="13"/>
      <c r="T56" s="13"/>
      <c r="U56" s="13"/>
      <c r="V56" s="13"/>
      <c r="W56" s="13"/>
      <c r="X56" s="13"/>
      <c r="Y56" s="13"/>
      <c r="Z56" s="13"/>
      <c r="AA56" s="13"/>
      <c r="AB56" s="13"/>
      <c r="AC56" s="13"/>
      <c r="AD56" s="13"/>
      <c r="AE56" s="13"/>
      <c r="AF56" s="13"/>
      <c r="AG56" s="13"/>
    </row>
    <row r="57" spans="1:33" s="10" customFormat="1" hidden="1" x14ac:dyDescent="0.2">
      <c r="E57" s="493" t="s">
        <v>1450</v>
      </c>
      <c r="F57" s="11"/>
      <c r="G57" s="11"/>
      <c r="H57" s="11"/>
      <c r="I57" s="11"/>
      <c r="J57" s="11"/>
      <c r="K57" s="11"/>
      <c r="L57" s="11"/>
      <c r="M57" s="11"/>
      <c r="N57" s="11"/>
      <c r="O57" s="11"/>
      <c r="P57" s="11"/>
      <c r="Q57" s="11"/>
      <c r="R57" s="13"/>
      <c r="S57" s="13"/>
      <c r="T57" s="13"/>
      <c r="U57" s="13"/>
      <c r="V57" s="13"/>
      <c r="W57" s="13"/>
      <c r="X57" s="13"/>
      <c r="Y57" s="13"/>
      <c r="Z57" s="13"/>
      <c r="AA57" s="13"/>
      <c r="AB57" s="13"/>
      <c r="AC57" s="13"/>
      <c r="AD57" s="13"/>
      <c r="AE57" s="13"/>
      <c r="AF57" s="13"/>
      <c r="AG57" s="13"/>
    </row>
    <row r="58" spans="1:33" s="10" customFormat="1" x14ac:dyDescent="0.2">
      <c r="A58" s="18" t="s">
        <v>1435</v>
      </c>
      <c r="C58" s="18"/>
      <c r="E58" s="493" t="s">
        <v>1518</v>
      </c>
      <c r="F58" s="11"/>
      <c r="G58" s="29"/>
      <c r="H58" s="29"/>
      <c r="I58" s="29"/>
      <c r="J58" s="29"/>
      <c r="K58" s="29"/>
      <c r="L58" s="29"/>
      <c r="M58" s="29"/>
      <c r="N58" s="29"/>
      <c r="O58" s="194">
        <f>SUM(G58:N58)</f>
        <v>0</v>
      </c>
      <c r="P58" s="29"/>
      <c r="Q58" s="194">
        <f t="shared" ref="Q58" si="4">SUM(O58:P58)</f>
        <v>0</v>
      </c>
      <c r="R58" s="13"/>
      <c r="S58" s="13"/>
      <c r="T58" s="13"/>
      <c r="U58" s="13"/>
      <c r="V58" s="13"/>
      <c r="W58" s="13"/>
      <c r="X58" s="13"/>
      <c r="Y58" s="13"/>
      <c r="Z58" s="13"/>
      <c r="AA58" s="13"/>
      <c r="AB58" s="13"/>
      <c r="AC58" s="13"/>
      <c r="AD58" s="13"/>
      <c r="AE58" s="13"/>
      <c r="AF58" s="13"/>
      <c r="AG58" s="13"/>
    </row>
    <row r="59" spans="1:33" s="10" customFormat="1" x14ac:dyDescent="0.2">
      <c r="E59" s="11"/>
      <c r="F59" s="11"/>
      <c r="G59" s="12"/>
      <c r="H59" s="12"/>
      <c r="I59" s="12"/>
      <c r="J59" s="12"/>
      <c r="K59" s="12"/>
      <c r="L59" s="12"/>
      <c r="M59" s="12"/>
      <c r="N59" s="12"/>
      <c r="O59" s="16"/>
      <c r="P59" s="12"/>
      <c r="Q59" s="16"/>
      <c r="R59" s="13"/>
      <c r="S59" s="13"/>
      <c r="T59" s="13"/>
      <c r="U59" s="13"/>
      <c r="V59" s="13"/>
      <c r="W59" s="13"/>
      <c r="X59" s="13"/>
      <c r="Y59" s="13"/>
      <c r="Z59" s="13"/>
      <c r="AA59" s="13"/>
      <c r="AB59" s="13"/>
      <c r="AC59" s="13"/>
      <c r="AD59" s="13"/>
      <c r="AE59" s="13"/>
      <c r="AF59" s="13"/>
      <c r="AG59" s="13"/>
    </row>
    <row r="60" spans="1:33" s="10" customFormat="1" ht="12.75" thickBot="1" x14ac:dyDescent="0.25">
      <c r="D60" s="10" t="s">
        <v>720</v>
      </c>
      <c r="E60" s="11"/>
      <c r="F60" s="11"/>
      <c r="G60" s="20">
        <f>SUM(G24:G29,G31:G32,G37,G40:G43,G50,G58)</f>
        <v>0</v>
      </c>
      <c r="H60" s="20">
        <f t="shared" ref="H60:Q60" si="5">SUM(H24:H29,H31:H32,H37,H40:H43,H50,H58)</f>
        <v>0</v>
      </c>
      <c r="I60" s="20">
        <f t="shared" si="5"/>
        <v>0</v>
      </c>
      <c r="J60" s="20">
        <f t="shared" si="5"/>
        <v>0</v>
      </c>
      <c r="K60" s="20">
        <f t="shared" si="5"/>
        <v>0</v>
      </c>
      <c r="L60" s="20">
        <f t="shared" si="5"/>
        <v>0</v>
      </c>
      <c r="M60" s="20">
        <f t="shared" si="5"/>
        <v>0</v>
      </c>
      <c r="N60" s="20">
        <f t="shared" si="5"/>
        <v>0</v>
      </c>
      <c r="O60" s="20">
        <f t="shared" si="5"/>
        <v>0</v>
      </c>
      <c r="P60" s="20">
        <f t="shared" si="5"/>
        <v>0</v>
      </c>
      <c r="Q60" s="20">
        <f t="shared" si="5"/>
        <v>0</v>
      </c>
      <c r="R60" s="13"/>
      <c r="S60" s="13"/>
      <c r="T60" s="13"/>
      <c r="U60" s="13"/>
      <c r="V60" s="13"/>
      <c r="W60" s="13"/>
      <c r="X60" s="13"/>
      <c r="Y60" s="13"/>
      <c r="Z60" s="13"/>
      <c r="AA60" s="13"/>
      <c r="AB60" s="13"/>
      <c r="AC60" s="13"/>
      <c r="AD60" s="13"/>
      <c r="AE60" s="13"/>
      <c r="AF60" s="13"/>
      <c r="AG60" s="13"/>
    </row>
    <row r="61" spans="1:33" s="10" customFormat="1" ht="12.75" thickTop="1" x14ac:dyDescent="0.2">
      <c r="E61" s="11"/>
      <c r="F61" s="11"/>
      <c r="G61" s="12"/>
      <c r="H61" s="12"/>
      <c r="I61" s="12"/>
      <c r="J61" s="12"/>
      <c r="K61" s="12"/>
      <c r="L61" s="12"/>
      <c r="M61" s="12"/>
      <c r="N61" s="12"/>
      <c r="O61" s="16"/>
      <c r="P61" s="12"/>
      <c r="Q61" s="16"/>
      <c r="R61" s="13"/>
      <c r="S61" s="13"/>
      <c r="T61" s="13"/>
      <c r="U61" s="13"/>
      <c r="V61" s="13"/>
      <c r="W61" s="13"/>
      <c r="X61" s="13"/>
      <c r="Y61" s="13"/>
      <c r="Z61" s="13"/>
      <c r="AA61" s="13"/>
      <c r="AB61" s="13"/>
      <c r="AC61" s="13"/>
      <c r="AD61" s="13"/>
      <c r="AE61" s="13"/>
      <c r="AF61" s="13"/>
      <c r="AG61" s="13"/>
    </row>
    <row r="62" spans="1:33" s="10" customFormat="1" x14ac:dyDescent="0.2">
      <c r="A62" s="1" t="s">
        <v>721</v>
      </c>
      <c r="E62" s="11"/>
      <c r="F62" s="11"/>
      <c r="G62" s="12"/>
      <c r="H62" s="12"/>
      <c r="I62" s="12"/>
      <c r="J62" s="12"/>
      <c r="K62" s="12"/>
      <c r="L62" s="12"/>
      <c r="M62" s="12"/>
      <c r="N62" s="12"/>
      <c r="O62" s="16"/>
      <c r="P62" s="12"/>
      <c r="Q62" s="16"/>
      <c r="R62" s="13"/>
      <c r="S62" s="13"/>
      <c r="T62" s="13"/>
      <c r="U62" s="13"/>
      <c r="V62" s="13"/>
      <c r="W62" s="13"/>
      <c r="X62" s="13"/>
      <c r="Y62" s="13"/>
      <c r="Z62" s="13"/>
      <c r="AA62" s="13"/>
      <c r="AB62" s="13"/>
      <c r="AC62" s="13"/>
      <c r="AD62" s="13"/>
      <c r="AE62" s="13"/>
      <c r="AF62" s="13"/>
      <c r="AG62" s="13"/>
    </row>
    <row r="63" spans="1:33" s="10" customFormat="1" x14ac:dyDescent="0.2">
      <c r="A63" s="10" t="s">
        <v>598</v>
      </c>
      <c r="E63" s="11"/>
      <c r="F63" s="14"/>
      <c r="G63" s="29"/>
      <c r="H63" s="29"/>
      <c r="I63" s="29"/>
      <c r="J63" s="29"/>
      <c r="K63" s="29"/>
      <c r="L63" s="29"/>
      <c r="M63" s="29"/>
      <c r="N63" s="29"/>
      <c r="O63" s="194">
        <f>SUM(G63:N63)</f>
        <v>0</v>
      </c>
      <c r="P63" s="29"/>
      <c r="Q63" s="194">
        <f>SUM(O63:P63)</f>
        <v>0</v>
      </c>
      <c r="R63" s="13"/>
      <c r="S63" s="13"/>
      <c r="T63" s="13"/>
      <c r="U63" s="13"/>
      <c r="V63" s="13"/>
      <c r="W63" s="13"/>
      <c r="X63" s="13"/>
      <c r="Y63" s="13"/>
      <c r="Z63" s="13"/>
      <c r="AA63" s="13"/>
      <c r="AB63" s="13"/>
      <c r="AC63" s="13"/>
      <c r="AD63" s="13"/>
      <c r="AE63" s="13"/>
      <c r="AF63" s="13"/>
      <c r="AG63" s="13"/>
    </row>
    <row r="64" spans="1:33" s="10" customFormat="1" x14ac:dyDescent="0.2">
      <c r="E64" s="11"/>
      <c r="F64" s="11"/>
      <c r="G64" s="12"/>
      <c r="H64" s="12"/>
      <c r="I64" s="12"/>
      <c r="J64" s="12"/>
      <c r="K64" s="12"/>
      <c r="L64" s="12"/>
      <c r="M64" s="12"/>
      <c r="N64" s="12"/>
      <c r="O64" s="16"/>
      <c r="P64" s="12"/>
      <c r="Q64" s="16"/>
      <c r="R64" s="13"/>
      <c r="S64" s="13"/>
      <c r="T64" s="13"/>
      <c r="U64" s="13"/>
      <c r="V64" s="13"/>
      <c r="W64" s="13"/>
      <c r="X64" s="13"/>
      <c r="Y64" s="13"/>
      <c r="Z64" s="13"/>
      <c r="AA64" s="13"/>
      <c r="AB64" s="13"/>
      <c r="AC64" s="13"/>
      <c r="AD64" s="13"/>
      <c r="AE64" s="13"/>
      <c r="AF64" s="13"/>
      <c r="AG64" s="13"/>
    </row>
    <row r="65" spans="1:33" s="10" customFormat="1" x14ac:dyDescent="0.2">
      <c r="A65" s="18" t="s">
        <v>79</v>
      </c>
      <c r="E65" s="11"/>
      <c r="F65" s="11"/>
      <c r="G65" s="29"/>
      <c r="H65" s="29"/>
      <c r="I65" s="29"/>
      <c r="J65" s="29"/>
      <c r="K65" s="29"/>
      <c r="L65" s="29"/>
      <c r="M65" s="29"/>
      <c r="N65" s="29"/>
      <c r="O65" s="194">
        <f>SUM(G65:N65)</f>
        <v>0</v>
      </c>
      <c r="P65" s="29"/>
      <c r="Q65" s="194">
        <f>SUM(O65:P65)</f>
        <v>0</v>
      </c>
      <c r="R65" s="13"/>
      <c r="S65" s="13"/>
      <c r="T65" s="13"/>
      <c r="U65" s="13"/>
      <c r="V65" s="13"/>
      <c r="W65" s="13"/>
      <c r="X65" s="13"/>
      <c r="Y65" s="13"/>
      <c r="Z65" s="13"/>
      <c r="AA65" s="13"/>
      <c r="AB65" s="13"/>
      <c r="AC65" s="13"/>
      <c r="AD65" s="13"/>
      <c r="AE65" s="13"/>
      <c r="AF65" s="13"/>
      <c r="AG65" s="13"/>
    </row>
    <row r="66" spans="1:33" s="10" customFormat="1" x14ac:dyDescent="0.2">
      <c r="A66" s="10" t="s">
        <v>80</v>
      </c>
      <c r="E66" s="11"/>
      <c r="F66" s="11"/>
      <c r="G66" s="29"/>
      <c r="H66" s="29"/>
      <c r="I66" s="29"/>
      <c r="J66" s="29"/>
      <c r="K66" s="29"/>
      <c r="L66" s="29"/>
      <c r="M66" s="29"/>
      <c r="N66" s="29"/>
      <c r="O66" s="194">
        <f t="shared" ref="O66:O75" si="6">SUM(G66:N66)</f>
        <v>0</v>
      </c>
      <c r="P66" s="29"/>
      <c r="Q66" s="194">
        <f>SUM(O66:P66)</f>
        <v>0</v>
      </c>
      <c r="R66" s="13"/>
      <c r="S66" s="13"/>
      <c r="T66" s="13"/>
      <c r="U66" s="13"/>
      <c r="V66" s="13"/>
      <c r="W66" s="13"/>
      <c r="X66" s="13"/>
      <c r="Y66" s="13"/>
      <c r="Z66" s="13"/>
      <c r="AA66" s="13"/>
      <c r="AB66" s="13"/>
      <c r="AC66" s="13"/>
      <c r="AD66" s="13"/>
      <c r="AE66" s="13"/>
      <c r="AF66" s="13"/>
      <c r="AG66" s="13"/>
    </row>
    <row r="67" spans="1:33" s="10" customFormat="1" x14ac:dyDescent="0.2">
      <c r="A67" s="10" t="s">
        <v>518</v>
      </c>
      <c r="E67" s="11"/>
      <c r="F67" s="11"/>
      <c r="G67" s="29"/>
      <c r="H67" s="29"/>
      <c r="I67" s="29"/>
      <c r="J67" s="29"/>
      <c r="K67" s="29"/>
      <c r="L67" s="29"/>
      <c r="M67" s="29"/>
      <c r="N67" s="29"/>
      <c r="O67" s="194">
        <f t="shared" si="6"/>
        <v>0</v>
      </c>
      <c r="P67" s="29"/>
      <c r="Q67" s="194">
        <f>SUM(O67:P67)</f>
        <v>0</v>
      </c>
      <c r="R67" s="13"/>
      <c r="S67" s="13"/>
      <c r="T67" s="13"/>
      <c r="U67" s="13"/>
      <c r="V67" s="13"/>
      <c r="W67" s="13"/>
      <c r="X67" s="13"/>
      <c r="Y67" s="13"/>
      <c r="Z67" s="13"/>
      <c r="AA67" s="13"/>
      <c r="AB67" s="13"/>
      <c r="AC67" s="13"/>
      <c r="AD67" s="13"/>
      <c r="AE67" s="13"/>
      <c r="AF67" s="13"/>
      <c r="AG67" s="13"/>
    </row>
    <row r="68" spans="1:33" s="10" customFormat="1" x14ac:dyDescent="0.2">
      <c r="A68" s="18" t="s">
        <v>565</v>
      </c>
      <c r="E68" s="11"/>
      <c r="F68" s="14"/>
      <c r="G68" s="29"/>
      <c r="H68" s="29"/>
      <c r="I68" s="29"/>
      <c r="J68" s="29"/>
      <c r="K68" s="29"/>
      <c r="L68" s="29"/>
      <c r="M68" s="29"/>
      <c r="N68" s="29"/>
      <c r="O68" s="194">
        <f t="shared" si="6"/>
        <v>0</v>
      </c>
      <c r="P68" s="29"/>
      <c r="Q68" s="194">
        <f>SUM(O68:P68)</f>
        <v>0</v>
      </c>
      <c r="R68" s="13"/>
      <c r="S68" s="13"/>
      <c r="T68" s="13"/>
      <c r="U68" s="13"/>
      <c r="V68" s="13"/>
      <c r="W68" s="13"/>
      <c r="X68" s="13"/>
      <c r="Y68" s="13"/>
      <c r="Z68" s="13"/>
      <c r="AA68" s="13"/>
      <c r="AB68" s="13"/>
      <c r="AC68" s="13"/>
      <c r="AD68" s="13"/>
      <c r="AE68" s="13"/>
      <c r="AF68" s="13"/>
      <c r="AG68" s="13"/>
    </row>
    <row r="69" spans="1:33" s="10" customFormat="1" x14ac:dyDescent="0.2">
      <c r="A69" s="18" t="s">
        <v>234</v>
      </c>
      <c r="E69" s="11"/>
      <c r="F69" s="11"/>
      <c r="G69" s="29"/>
      <c r="H69" s="29"/>
      <c r="I69" s="29"/>
      <c r="J69" s="29"/>
      <c r="K69" s="29"/>
      <c r="L69" s="29"/>
      <c r="M69" s="29"/>
      <c r="N69" s="29"/>
      <c r="O69" s="194">
        <f t="shared" si="6"/>
        <v>0</v>
      </c>
      <c r="P69" s="29"/>
      <c r="Q69" s="194">
        <f>SUM(O69:P69)</f>
        <v>0</v>
      </c>
      <c r="R69" s="13"/>
      <c r="S69" s="13"/>
      <c r="T69" s="13"/>
      <c r="U69" s="13"/>
      <c r="V69" s="13"/>
      <c r="W69" s="13"/>
      <c r="X69" s="13"/>
      <c r="Y69" s="13"/>
      <c r="Z69" s="13"/>
      <c r="AA69" s="13"/>
      <c r="AB69" s="13"/>
      <c r="AC69" s="13"/>
      <c r="AD69" s="13"/>
      <c r="AE69" s="13"/>
      <c r="AF69" s="13"/>
      <c r="AG69" s="13"/>
    </row>
    <row r="70" spans="1:33" s="10" customFormat="1" x14ac:dyDescent="0.2">
      <c r="E70" s="11"/>
      <c r="F70" s="11"/>
      <c r="G70" s="12"/>
      <c r="H70" s="12"/>
      <c r="I70" s="12"/>
      <c r="J70" s="12"/>
      <c r="K70" s="12"/>
      <c r="L70" s="12"/>
      <c r="M70" s="12"/>
      <c r="N70" s="12"/>
      <c r="O70" s="16"/>
      <c r="P70" s="12"/>
      <c r="Q70" s="16"/>
      <c r="R70" s="13"/>
      <c r="S70" s="13"/>
      <c r="T70" s="13"/>
      <c r="U70" s="13"/>
      <c r="V70" s="13"/>
      <c r="W70" s="13"/>
      <c r="X70" s="13"/>
      <c r="Y70" s="13"/>
      <c r="Z70" s="13"/>
      <c r="AA70" s="13"/>
      <c r="AB70" s="13"/>
      <c r="AC70" s="13"/>
      <c r="AD70" s="13"/>
      <c r="AE70" s="13"/>
      <c r="AF70" s="13"/>
      <c r="AG70" s="13"/>
    </row>
    <row r="71" spans="1:33" s="10" customFormat="1" x14ac:dyDescent="0.2">
      <c r="A71" s="10" t="s">
        <v>16</v>
      </c>
      <c r="E71" s="11"/>
      <c r="F71" s="11"/>
      <c r="G71" s="29"/>
      <c r="H71" s="29"/>
      <c r="I71" s="29"/>
      <c r="J71" s="29"/>
      <c r="K71" s="29"/>
      <c r="L71" s="29"/>
      <c r="M71" s="29"/>
      <c r="N71" s="29"/>
      <c r="O71" s="194">
        <f t="shared" si="6"/>
        <v>0</v>
      </c>
      <c r="P71" s="29"/>
      <c r="Q71" s="194">
        <f>SUM(O71:P71)</f>
        <v>0</v>
      </c>
      <c r="R71" s="13"/>
      <c r="S71" s="13"/>
      <c r="T71" s="13"/>
      <c r="U71" s="13"/>
      <c r="V71" s="13"/>
      <c r="W71" s="13"/>
      <c r="X71" s="13"/>
      <c r="Y71" s="13"/>
      <c r="Z71" s="13"/>
      <c r="AA71" s="13"/>
      <c r="AB71" s="13"/>
      <c r="AC71" s="13"/>
      <c r="AD71" s="13"/>
      <c r="AE71" s="13"/>
      <c r="AF71" s="13"/>
      <c r="AG71" s="13"/>
    </row>
    <row r="72" spans="1:33" s="10" customFormat="1" x14ac:dyDescent="0.2">
      <c r="A72" s="10" t="s">
        <v>760</v>
      </c>
      <c r="E72" s="2" t="s">
        <v>1296</v>
      </c>
      <c r="F72" s="11"/>
      <c r="G72" s="29"/>
      <c r="H72" s="29"/>
      <c r="I72" s="29"/>
      <c r="J72" s="29"/>
      <c r="K72" s="29"/>
      <c r="L72" s="29"/>
      <c r="M72" s="29"/>
      <c r="N72" s="29"/>
      <c r="O72" s="194">
        <f t="shared" si="6"/>
        <v>0</v>
      </c>
      <c r="P72" s="29"/>
      <c r="Q72" s="194">
        <f>SUM(O72:P72)</f>
        <v>0</v>
      </c>
      <c r="R72" s="13"/>
      <c r="S72" s="13"/>
      <c r="T72" s="13"/>
      <c r="U72" s="13"/>
      <c r="V72" s="13"/>
      <c r="W72" s="13"/>
      <c r="X72" s="13"/>
      <c r="Y72" s="13"/>
      <c r="Z72" s="13"/>
      <c r="AA72" s="13"/>
      <c r="AB72" s="13"/>
      <c r="AC72" s="13"/>
      <c r="AD72" s="13"/>
      <c r="AE72" s="13"/>
      <c r="AF72" s="13"/>
      <c r="AG72" s="13"/>
    </row>
    <row r="73" spans="1:33" s="10" customFormat="1" x14ac:dyDescent="0.2">
      <c r="A73" s="10" t="s">
        <v>335</v>
      </c>
      <c r="E73" s="11"/>
      <c r="F73" s="11"/>
      <c r="G73" s="29"/>
      <c r="H73" s="29"/>
      <c r="I73" s="29"/>
      <c r="J73" s="29"/>
      <c r="K73" s="29"/>
      <c r="L73" s="29"/>
      <c r="M73" s="29"/>
      <c r="N73" s="29"/>
      <c r="O73" s="194">
        <f t="shared" si="6"/>
        <v>0</v>
      </c>
      <c r="P73" s="29"/>
      <c r="Q73" s="194">
        <f>SUM(O73:P73)</f>
        <v>0</v>
      </c>
      <c r="R73" s="13"/>
      <c r="S73" s="13"/>
      <c r="T73" s="13"/>
      <c r="U73" s="13"/>
      <c r="V73" s="13"/>
      <c r="W73" s="13"/>
      <c r="X73" s="13"/>
      <c r="Y73" s="13"/>
      <c r="Z73" s="13"/>
      <c r="AA73" s="13"/>
      <c r="AB73" s="13"/>
      <c r="AC73" s="13"/>
      <c r="AD73" s="13"/>
      <c r="AE73" s="13"/>
      <c r="AF73" s="13"/>
      <c r="AG73" s="13"/>
    </row>
    <row r="74" spans="1:33" s="10" customFormat="1" x14ac:dyDescent="0.2">
      <c r="A74" s="211" t="s">
        <v>925</v>
      </c>
      <c r="E74" s="11" t="s">
        <v>560</v>
      </c>
      <c r="F74" s="11"/>
      <c r="G74" s="29"/>
      <c r="H74" s="29"/>
      <c r="I74" s="29"/>
      <c r="J74" s="29"/>
      <c r="K74" s="29"/>
      <c r="L74" s="29"/>
      <c r="M74" s="29"/>
      <c r="N74" s="29"/>
      <c r="O74" s="194">
        <f t="shared" si="6"/>
        <v>0</v>
      </c>
      <c r="P74" s="29"/>
      <c r="Q74" s="194">
        <f>SUM(O74:P74)</f>
        <v>0</v>
      </c>
      <c r="R74" s="13"/>
      <c r="S74" s="13"/>
      <c r="T74" s="13"/>
      <c r="U74" s="13"/>
      <c r="V74" s="13"/>
      <c r="W74" s="13"/>
      <c r="X74" s="13"/>
      <c r="Y74" s="13"/>
      <c r="Z74" s="13"/>
      <c r="AA74" s="13"/>
      <c r="AB74" s="13"/>
      <c r="AC74" s="13"/>
      <c r="AD74" s="13"/>
      <c r="AE74" s="13"/>
      <c r="AF74" s="13"/>
      <c r="AG74" s="13"/>
    </row>
    <row r="75" spans="1:33" s="10" customFormat="1" x14ac:dyDescent="0.2">
      <c r="A75" s="10" t="s">
        <v>814</v>
      </c>
      <c r="E75" s="11"/>
      <c r="F75" s="11"/>
      <c r="G75" s="29"/>
      <c r="H75" s="29"/>
      <c r="I75" s="29"/>
      <c r="J75" s="29"/>
      <c r="K75" s="29"/>
      <c r="L75" s="29"/>
      <c r="M75" s="29"/>
      <c r="N75" s="29"/>
      <c r="O75" s="194">
        <f t="shared" si="6"/>
        <v>0</v>
      </c>
      <c r="P75" s="29"/>
      <c r="Q75" s="194">
        <f>SUM(O75:P75)</f>
        <v>0</v>
      </c>
      <c r="R75" s="13"/>
      <c r="S75" s="13"/>
      <c r="T75" s="13"/>
      <c r="U75" s="13"/>
      <c r="V75" s="13"/>
      <c r="W75" s="13"/>
      <c r="X75" s="13"/>
      <c r="Y75" s="13"/>
      <c r="Z75" s="13"/>
      <c r="AA75" s="13"/>
      <c r="AB75" s="13"/>
      <c r="AC75" s="13"/>
      <c r="AD75" s="13"/>
      <c r="AE75" s="13"/>
      <c r="AF75" s="13"/>
      <c r="AG75" s="13"/>
    </row>
    <row r="76" spans="1:33" s="10" customFormat="1" x14ac:dyDescent="0.2">
      <c r="C76" s="18" t="s">
        <v>815</v>
      </c>
      <c r="D76" s="18"/>
      <c r="E76" s="11"/>
      <c r="F76" s="11"/>
      <c r="G76" s="15">
        <f>SUM(G71:G75)</f>
        <v>0</v>
      </c>
      <c r="H76" s="15">
        <f>SUM(H71:H75)</f>
        <v>0</v>
      </c>
      <c r="I76" s="15">
        <f>SUM(I71:I75)</f>
        <v>0</v>
      </c>
      <c r="J76" s="15">
        <f>SUM(J71:J75)</f>
        <v>0</v>
      </c>
      <c r="K76" s="15">
        <f>SUM(K71:K75)</f>
        <v>0</v>
      </c>
      <c r="L76" s="15">
        <f t="shared" ref="L76:P76" si="7">SUM(L71:L75)</f>
        <v>0</v>
      </c>
      <c r="M76" s="15">
        <f t="shared" si="7"/>
        <v>0</v>
      </c>
      <c r="N76" s="15">
        <f t="shared" si="7"/>
        <v>0</v>
      </c>
      <c r="O76" s="15">
        <f>SUM(O71:O75)</f>
        <v>0</v>
      </c>
      <c r="P76" s="15">
        <f t="shared" si="7"/>
        <v>0</v>
      </c>
      <c r="Q76" s="15">
        <f>SUM(Q71:Q75)</f>
        <v>0</v>
      </c>
      <c r="R76" s="13"/>
      <c r="S76" s="13"/>
      <c r="T76" s="13"/>
      <c r="U76" s="13"/>
      <c r="V76" s="13"/>
      <c r="W76" s="13"/>
      <c r="X76" s="13"/>
      <c r="Y76" s="13"/>
      <c r="Z76" s="13"/>
      <c r="AA76" s="13"/>
      <c r="AB76" s="13"/>
      <c r="AC76" s="13"/>
      <c r="AD76" s="13"/>
      <c r="AE76" s="13"/>
      <c r="AF76" s="13"/>
      <c r="AG76" s="13"/>
    </row>
    <row r="77" spans="1:33" s="10" customFormat="1" x14ac:dyDescent="0.2">
      <c r="E77" s="11"/>
      <c r="F77" s="11"/>
      <c r="G77" s="12"/>
      <c r="H77" s="12"/>
      <c r="I77" s="12"/>
      <c r="J77" s="12"/>
      <c r="K77" s="12"/>
      <c r="L77" s="12"/>
      <c r="M77" s="12"/>
      <c r="N77" s="12"/>
      <c r="O77" s="16"/>
      <c r="P77" s="12"/>
      <c r="Q77" s="16"/>
      <c r="R77" s="13"/>
      <c r="S77" s="13"/>
      <c r="T77" s="13"/>
      <c r="U77" s="13"/>
      <c r="V77" s="13"/>
      <c r="W77" s="13"/>
      <c r="X77" s="13"/>
      <c r="Y77" s="13"/>
      <c r="Z77" s="13"/>
      <c r="AA77" s="13"/>
      <c r="AB77" s="13"/>
      <c r="AC77" s="13"/>
      <c r="AD77" s="13"/>
      <c r="AE77" s="13"/>
      <c r="AF77" s="13"/>
      <c r="AG77" s="13"/>
    </row>
    <row r="78" spans="1:33" s="10" customFormat="1" x14ac:dyDescent="0.2">
      <c r="E78" s="11"/>
      <c r="F78" s="11"/>
      <c r="G78" s="12"/>
      <c r="H78" s="12"/>
      <c r="I78" s="12"/>
      <c r="J78" s="12"/>
      <c r="K78" s="12"/>
      <c r="L78" s="12"/>
      <c r="M78" s="12"/>
      <c r="N78" s="12"/>
      <c r="O78" s="16"/>
      <c r="P78" s="12"/>
      <c r="Q78" s="16"/>
      <c r="R78" s="13"/>
      <c r="S78" s="13"/>
      <c r="T78" s="13"/>
      <c r="U78" s="13"/>
      <c r="V78" s="13"/>
      <c r="W78" s="13"/>
      <c r="X78" s="13"/>
      <c r="Y78" s="13"/>
      <c r="Z78" s="13"/>
      <c r="AA78" s="13"/>
      <c r="AB78" s="13"/>
      <c r="AC78" s="13"/>
      <c r="AD78" s="13"/>
      <c r="AE78" s="13"/>
      <c r="AF78" s="13"/>
      <c r="AG78" s="13"/>
    </row>
    <row r="79" spans="1:33" s="10" customFormat="1" x14ac:dyDescent="0.2">
      <c r="A79" s="18" t="s">
        <v>345</v>
      </c>
      <c r="E79" s="266" t="s">
        <v>1399</v>
      </c>
      <c r="F79" s="11"/>
      <c r="G79" s="29"/>
      <c r="H79" s="29"/>
      <c r="I79" s="29"/>
      <c r="J79" s="29"/>
      <c r="K79" s="29"/>
      <c r="L79" s="29"/>
      <c r="M79" s="29"/>
      <c r="N79" s="29"/>
      <c r="O79" s="194">
        <f>SUM(G79:N79)</f>
        <v>0</v>
      </c>
      <c r="P79" s="29"/>
      <c r="Q79" s="194">
        <f>SUM(O79:P79)</f>
        <v>0</v>
      </c>
      <c r="R79" s="13"/>
      <c r="S79" s="13"/>
      <c r="T79" s="13"/>
      <c r="U79" s="13"/>
      <c r="V79" s="13"/>
      <c r="W79" s="13"/>
      <c r="X79" s="13"/>
      <c r="Y79" s="13"/>
      <c r="Z79" s="13"/>
      <c r="AA79" s="13"/>
      <c r="AB79" s="13"/>
      <c r="AC79" s="13"/>
      <c r="AD79" s="13"/>
      <c r="AE79" s="13"/>
      <c r="AF79" s="13"/>
      <c r="AG79" s="13"/>
    </row>
    <row r="80" spans="1:33" s="10" customFormat="1" x14ac:dyDescent="0.2">
      <c r="A80" s="18" t="s">
        <v>346</v>
      </c>
      <c r="E80" s="266" t="s">
        <v>1399</v>
      </c>
      <c r="F80" s="11"/>
      <c r="G80" s="29"/>
      <c r="H80" s="29"/>
      <c r="I80" s="29"/>
      <c r="J80" s="29"/>
      <c r="K80" s="29"/>
      <c r="L80" s="29"/>
      <c r="M80" s="29"/>
      <c r="N80" s="29"/>
      <c r="O80" s="194">
        <f>SUM(G80:N80)</f>
        <v>0</v>
      </c>
      <c r="P80" s="29"/>
      <c r="Q80" s="194">
        <f>SUM(O80:P80)</f>
        <v>0</v>
      </c>
      <c r="R80" s="13"/>
      <c r="S80" s="13"/>
      <c r="T80" s="13"/>
      <c r="U80" s="13"/>
      <c r="V80" s="13"/>
      <c r="W80" s="13"/>
      <c r="X80" s="13"/>
      <c r="Y80" s="13"/>
      <c r="Z80" s="13"/>
      <c r="AA80" s="13"/>
      <c r="AB80" s="13"/>
      <c r="AC80" s="13"/>
      <c r="AD80" s="13"/>
      <c r="AE80" s="13"/>
      <c r="AF80" s="13"/>
      <c r="AG80" s="13"/>
    </row>
    <row r="81" spans="1:33" s="10" customFormat="1" x14ac:dyDescent="0.2">
      <c r="E81" s="11"/>
      <c r="F81" s="11"/>
      <c r="G81" s="12"/>
      <c r="H81" s="12"/>
      <c r="I81" s="12"/>
      <c r="J81" s="12"/>
      <c r="K81" s="12"/>
      <c r="L81" s="12"/>
      <c r="M81" s="12"/>
      <c r="N81" s="12"/>
      <c r="O81" s="16"/>
      <c r="P81" s="12"/>
      <c r="Q81" s="16"/>
      <c r="R81" s="13"/>
      <c r="S81" s="13"/>
      <c r="T81" s="13"/>
      <c r="U81" s="13"/>
      <c r="V81" s="13"/>
      <c r="W81" s="13"/>
      <c r="X81" s="13"/>
      <c r="Y81" s="13"/>
      <c r="Z81" s="13"/>
      <c r="AA81" s="13"/>
      <c r="AB81" s="13"/>
      <c r="AC81" s="13"/>
      <c r="AD81" s="13"/>
      <c r="AE81" s="13"/>
      <c r="AF81" s="13"/>
      <c r="AG81" s="13"/>
    </row>
    <row r="82" spans="1:33" s="10" customFormat="1" x14ac:dyDescent="0.2">
      <c r="A82" s="10" t="s">
        <v>633</v>
      </c>
      <c r="E82" s="11"/>
      <c r="F82" s="11"/>
      <c r="G82" s="12"/>
      <c r="H82" s="12"/>
      <c r="I82" s="12"/>
      <c r="J82" s="12"/>
      <c r="K82" s="12"/>
      <c r="L82" s="12"/>
      <c r="M82" s="12"/>
      <c r="N82" s="12"/>
      <c r="O82" s="16"/>
      <c r="P82" s="12"/>
      <c r="Q82" s="16"/>
      <c r="R82" s="13"/>
      <c r="S82" s="13"/>
      <c r="T82" s="13"/>
      <c r="U82" s="13"/>
      <c r="V82" s="13"/>
      <c r="W82" s="13"/>
      <c r="X82" s="13"/>
      <c r="Y82" s="13"/>
      <c r="Z82" s="13"/>
      <c r="AA82" s="13"/>
      <c r="AB82" s="13"/>
      <c r="AC82" s="13"/>
      <c r="AD82" s="13"/>
      <c r="AE82" s="13"/>
      <c r="AF82" s="13"/>
      <c r="AG82" s="13"/>
    </row>
    <row r="83" spans="1:33" s="10" customFormat="1" x14ac:dyDescent="0.2">
      <c r="A83" s="211" t="s">
        <v>1685</v>
      </c>
      <c r="E83" s="11"/>
      <c r="F83" s="11"/>
      <c r="G83" s="16"/>
      <c r="H83" s="16"/>
      <c r="I83" s="16"/>
      <c r="J83" s="16"/>
      <c r="K83" s="16"/>
      <c r="L83" s="16"/>
      <c r="M83" s="16"/>
      <c r="N83" s="16"/>
      <c r="O83" s="16"/>
      <c r="P83" s="16"/>
      <c r="Q83" s="16"/>
      <c r="R83" s="13"/>
      <c r="S83" s="13"/>
      <c r="T83" s="13"/>
      <c r="U83" s="13"/>
      <c r="V83" s="13"/>
      <c r="W83" s="13"/>
      <c r="X83" s="13"/>
      <c r="Y83" s="13"/>
      <c r="Z83" s="13"/>
      <c r="AA83" s="13"/>
      <c r="AB83" s="13"/>
      <c r="AC83" s="13"/>
      <c r="AD83" s="13"/>
      <c r="AE83" s="13"/>
      <c r="AF83" s="13"/>
      <c r="AG83" s="13"/>
    </row>
    <row r="84" spans="1:33" s="10" customFormat="1" x14ac:dyDescent="0.2">
      <c r="B84" s="10" t="s">
        <v>817</v>
      </c>
      <c r="E84" s="11"/>
      <c r="F84" s="14"/>
      <c r="G84" s="29"/>
      <c r="H84" s="29"/>
      <c r="I84" s="29"/>
      <c r="J84" s="29"/>
      <c r="K84" s="29"/>
      <c r="L84" s="29"/>
      <c r="M84" s="29"/>
      <c r="N84" s="29"/>
      <c r="O84" s="194">
        <f>SUM(G84:N84)</f>
        <v>0</v>
      </c>
      <c r="P84" s="29"/>
      <c r="Q84" s="194">
        <f t="shared" ref="Q84:Q91" si="8">SUM(O84:P84)</f>
        <v>0</v>
      </c>
      <c r="R84" s="13"/>
      <c r="S84" s="13"/>
      <c r="T84" s="13"/>
      <c r="U84" s="13"/>
      <c r="V84" s="13"/>
      <c r="W84" s="13"/>
      <c r="X84" s="13"/>
      <c r="Y84" s="13"/>
      <c r="Z84" s="13"/>
      <c r="AA84" s="13"/>
      <c r="AB84" s="13"/>
      <c r="AC84" s="13"/>
      <c r="AD84" s="13"/>
      <c r="AE84" s="13"/>
      <c r="AF84" s="13"/>
      <c r="AG84" s="13"/>
    </row>
    <row r="85" spans="1:33" s="10" customFormat="1" hidden="1" x14ac:dyDescent="0.2">
      <c r="E85" s="493"/>
      <c r="F85" s="493"/>
      <c r="G85" s="493"/>
      <c r="H85" s="493"/>
      <c r="I85" s="493"/>
      <c r="J85" s="493"/>
      <c r="K85" s="493"/>
      <c r="L85" s="493"/>
      <c r="M85" s="493"/>
      <c r="N85" s="493"/>
      <c r="O85" s="493"/>
      <c r="P85" s="493"/>
      <c r="Q85" s="493"/>
      <c r="R85" s="13"/>
      <c r="S85" s="13"/>
      <c r="T85" s="13"/>
      <c r="U85" s="13"/>
      <c r="V85" s="13"/>
      <c r="W85" s="13"/>
      <c r="X85" s="13"/>
      <c r="Y85" s="13"/>
      <c r="Z85" s="13"/>
      <c r="AA85" s="13"/>
      <c r="AB85" s="13"/>
      <c r="AC85" s="13"/>
      <c r="AD85" s="13"/>
      <c r="AE85" s="13"/>
      <c r="AF85" s="13"/>
      <c r="AG85" s="13"/>
    </row>
    <row r="86" spans="1:33" s="10" customFormat="1" x14ac:dyDescent="0.2">
      <c r="B86" s="10" t="s">
        <v>751</v>
      </c>
      <c r="E86" s="493" t="s">
        <v>970</v>
      </c>
      <c r="F86" s="14"/>
      <c r="G86" s="29"/>
      <c r="H86" s="29"/>
      <c r="I86" s="29"/>
      <c r="J86" s="29"/>
      <c r="K86" s="29"/>
      <c r="L86" s="29"/>
      <c r="M86" s="29"/>
      <c r="N86" s="29"/>
      <c r="O86" s="194">
        <f t="shared" ref="O86:O91" si="9">SUM(G86:N86)</f>
        <v>0</v>
      </c>
      <c r="P86" s="29"/>
      <c r="Q86" s="194">
        <f>SUM(O86:P86)</f>
        <v>0</v>
      </c>
      <c r="R86" s="13"/>
      <c r="S86" s="13"/>
      <c r="T86" s="13"/>
      <c r="U86" s="13"/>
      <c r="V86" s="13"/>
      <c r="W86" s="13"/>
      <c r="X86" s="13"/>
      <c r="Y86" s="13"/>
      <c r="Z86" s="13"/>
      <c r="AA86" s="13"/>
      <c r="AB86" s="13"/>
      <c r="AC86" s="13"/>
      <c r="AD86" s="13"/>
      <c r="AE86" s="13"/>
      <c r="AF86" s="13"/>
      <c r="AG86" s="13"/>
    </row>
    <row r="87" spans="1:33" s="10" customFormat="1" x14ac:dyDescent="0.2">
      <c r="B87" s="10" t="s">
        <v>116</v>
      </c>
      <c r="E87" s="493" t="s">
        <v>971</v>
      </c>
      <c r="F87" s="14"/>
      <c r="G87" s="29"/>
      <c r="H87" s="29"/>
      <c r="I87" s="29"/>
      <c r="J87" s="29"/>
      <c r="K87" s="29"/>
      <c r="L87" s="29"/>
      <c r="M87" s="29"/>
      <c r="N87" s="29"/>
      <c r="O87" s="194">
        <f t="shared" si="9"/>
        <v>0</v>
      </c>
      <c r="P87" s="29"/>
      <c r="Q87" s="194">
        <f>SUM(O87:P87)</f>
        <v>0</v>
      </c>
      <c r="R87" s="13"/>
      <c r="S87" s="13"/>
      <c r="T87" s="13"/>
      <c r="U87" s="13"/>
      <c r="V87" s="13"/>
      <c r="W87" s="13"/>
      <c r="X87" s="13"/>
      <c r="Y87" s="13"/>
      <c r="Z87" s="13"/>
      <c r="AA87" s="13"/>
      <c r="AB87" s="13"/>
      <c r="AC87" s="13"/>
      <c r="AD87" s="13"/>
      <c r="AE87" s="13"/>
      <c r="AF87" s="13"/>
      <c r="AG87" s="13"/>
    </row>
    <row r="88" spans="1:33" s="10" customFormat="1" x14ac:dyDescent="0.2">
      <c r="B88" s="10" t="s">
        <v>816</v>
      </c>
      <c r="E88" s="274" t="s">
        <v>561</v>
      </c>
      <c r="F88" s="14"/>
      <c r="G88" s="29"/>
      <c r="H88" s="29"/>
      <c r="I88" s="29"/>
      <c r="J88" s="29"/>
      <c r="K88" s="29"/>
      <c r="L88" s="29"/>
      <c r="M88" s="29"/>
      <c r="N88" s="29"/>
      <c r="O88" s="194">
        <f t="shared" si="9"/>
        <v>0</v>
      </c>
      <c r="P88" s="29"/>
      <c r="Q88" s="194">
        <f t="shared" si="8"/>
        <v>0</v>
      </c>
      <c r="R88" s="13"/>
      <c r="S88" s="13"/>
      <c r="T88" s="13"/>
      <c r="U88" s="13"/>
      <c r="V88" s="13"/>
      <c r="W88" s="13"/>
      <c r="X88" s="13"/>
      <c r="Y88" s="13"/>
      <c r="Z88" s="13"/>
      <c r="AA88" s="13"/>
      <c r="AB88" s="13"/>
      <c r="AC88" s="13"/>
      <c r="AD88" s="13"/>
      <c r="AE88" s="13"/>
      <c r="AF88" s="13"/>
      <c r="AG88" s="13"/>
    </row>
    <row r="89" spans="1:33" s="10" customFormat="1" x14ac:dyDescent="0.2">
      <c r="B89" s="10" t="s">
        <v>577</v>
      </c>
      <c r="E89" s="493" t="s">
        <v>1508</v>
      </c>
      <c r="F89" s="14"/>
      <c r="G89" s="29"/>
      <c r="H89" s="29"/>
      <c r="I89" s="29"/>
      <c r="J89" s="29"/>
      <c r="K89" s="29"/>
      <c r="L89" s="29"/>
      <c r="M89" s="29"/>
      <c r="N89" s="29"/>
      <c r="O89" s="194">
        <f t="shared" si="9"/>
        <v>0</v>
      </c>
      <c r="P89" s="29"/>
      <c r="Q89" s="194">
        <f>SUM(O89:P89)</f>
        <v>0</v>
      </c>
      <c r="R89" s="13"/>
      <c r="S89" s="13"/>
      <c r="T89" s="13"/>
      <c r="U89" s="13"/>
      <c r="V89" s="13"/>
      <c r="W89" s="13"/>
      <c r="X89" s="13"/>
      <c r="Y89" s="13"/>
      <c r="Z89" s="13"/>
      <c r="AA89" s="13"/>
      <c r="AB89" s="13"/>
      <c r="AC89" s="13"/>
      <c r="AD89" s="13"/>
      <c r="AE89" s="13"/>
      <c r="AF89" s="13"/>
      <c r="AG89" s="13"/>
    </row>
    <row r="90" spans="1:33" s="10" customFormat="1" x14ac:dyDescent="0.2">
      <c r="B90" s="10" t="s">
        <v>82</v>
      </c>
      <c r="E90" s="11"/>
      <c r="F90" s="14"/>
      <c r="G90" s="29"/>
      <c r="H90" s="29"/>
      <c r="I90" s="29"/>
      <c r="J90" s="29"/>
      <c r="K90" s="29"/>
      <c r="L90" s="29"/>
      <c r="M90" s="29"/>
      <c r="N90" s="29"/>
      <c r="O90" s="194">
        <f t="shared" si="9"/>
        <v>0</v>
      </c>
      <c r="P90" s="29"/>
      <c r="Q90" s="194">
        <f t="shared" si="8"/>
        <v>0</v>
      </c>
      <c r="R90" s="13"/>
      <c r="S90" s="13"/>
      <c r="T90" s="13"/>
      <c r="U90" s="13"/>
      <c r="V90" s="13"/>
      <c r="W90" s="13"/>
      <c r="X90" s="13"/>
      <c r="Y90" s="13"/>
      <c r="Z90" s="13"/>
      <c r="AA90" s="13"/>
      <c r="AB90" s="13"/>
      <c r="AC90" s="13"/>
      <c r="AD90" s="13"/>
      <c r="AE90" s="13"/>
      <c r="AF90" s="13"/>
      <c r="AG90" s="13"/>
    </row>
    <row r="91" spans="1:33" s="10" customFormat="1" x14ac:dyDescent="0.2">
      <c r="B91" s="10" t="s">
        <v>760</v>
      </c>
      <c r="E91" s="493" t="s">
        <v>1400</v>
      </c>
      <c r="F91" s="14"/>
      <c r="G91" s="29"/>
      <c r="H91" s="29"/>
      <c r="I91" s="29"/>
      <c r="J91" s="29"/>
      <c r="K91" s="29"/>
      <c r="L91" s="29"/>
      <c r="M91" s="29"/>
      <c r="N91" s="29"/>
      <c r="O91" s="194">
        <f t="shared" si="9"/>
        <v>0</v>
      </c>
      <c r="P91" s="29"/>
      <c r="Q91" s="194">
        <f t="shared" si="8"/>
        <v>0</v>
      </c>
      <c r="R91" s="13"/>
      <c r="S91" s="13"/>
      <c r="T91" s="13"/>
      <c r="U91" s="13"/>
      <c r="V91" s="13"/>
      <c r="W91" s="13"/>
      <c r="X91" s="13"/>
      <c r="Y91" s="13"/>
      <c r="Z91" s="13"/>
      <c r="AA91" s="13"/>
      <c r="AB91" s="13"/>
      <c r="AC91" s="13"/>
      <c r="AD91" s="13"/>
      <c r="AE91" s="13"/>
      <c r="AF91" s="13"/>
      <c r="AG91" s="13"/>
    </row>
    <row r="92" spans="1:33" s="10" customFormat="1" x14ac:dyDescent="0.2">
      <c r="C92" s="18" t="s">
        <v>292</v>
      </c>
      <c r="E92" s="11"/>
      <c r="F92" s="11"/>
      <c r="G92" s="15">
        <f>SUM(G84:G91)</f>
        <v>0</v>
      </c>
      <c r="H92" s="15">
        <f t="shared" ref="H92:P92" si="10">SUM(H84:H91)</f>
        <v>0</v>
      </c>
      <c r="I92" s="15">
        <f t="shared" si="10"/>
        <v>0</v>
      </c>
      <c r="J92" s="15">
        <f t="shared" si="10"/>
        <v>0</v>
      </c>
      <c r="K92" s="15">
        <f t="shared" si="10"/>
        <v>0</v>
      </c>
      <c r="L92" s="15">
        <f t="shared" si="10"/>
        <v>0</v>
      </c>
      <c r="M92" s="15">
        <f t="shared" si="10"/>
        <v>0</v>
      </c>
      <c r="N92" s="15">
        <f t="shared" si="10"/>
        <v>0</v>
      </c>
      <c r="O92" s="15">
        <f>SUM(O84:O91)</f>
        <v>0</v>
      </c>
      <c r="P92" s="15">
        <f t="shared" si="10"/>
        <v>0</v>
      </c>
      <c r="Q92" s="15">
        <f>SUM(Q84:Q91)</f>
        <v>0</v>
      </c>
      <c r="R92" s="13"/>
      <c r="S92" s="13"/>
      <c r="T92" s="13"/>
      <c r="U92" s="13"/>
      <c r="V92" s="13"/>
      <c r="W92" s="13"/>
      <c r="X92" s="13"/>
      <c r="Y92" s="13"/>
      <c r="Z92" s="13"/>
      <c r="AA92" s="13"/>
      <c r="AB92" s="13"/>
      <c r="AC92" s="13"/>
      <c r="AD92" s="13"/>
      <c r="AE92" s="13"/>
      <c r="AF92" s="13"/>
      <c r="AG92" s="13"/>
    </row>
    <row r="93" spans="1:33" s="10" customFormat="1" x14ac:dyDescent="0.2">
      <c r="E93" s="11"/>
      <c r="F93" s="11"/>
      <c r="G93" s="12"/>
      <c r="H93" s="12"/>
      <c r="I93" s="12"/>
      <c r="J93" s="12"/>
      <c r="K93" s="12"/>
      <c r="L93" s="12"/>
      <c r="M93" s="12"/>
      <c r="N93" s="12"/>
      <c r="O93" s="16"/>
      <c r="P93" s="12"/>
      <c r="Q93" s="16"/>
      <c r="R93" s="13"/>
      <c r="S93" s="13"/>
      <c r="T93" s="13"/>
      <c r="U93" s="13"/>
      <c r="V93" s="13"/>
      <c r="W93" s="13"/>
      <c r="X93" s="13"/>
      <c r="Y93" s="13"/>
      <c r="Z93" s="13"/>
      <c r="AA93" s="13"/>
      <c r="AB93" s="13"/>
      <c r="AC93" s="13"/>
      <c r="AD93" s="13"/>
      <c r="AE93" s="13"/>
      <c r="AF93" s="13"/>
      <c r="AG93" s="13"/>
    </row>
    <row r="94" spans="1:33" s="10" customFormat="1" x14ac:dyDescent="0.2">
      <c r="A94" s="211" t="s">
        <v>1381</v>
      </c>
      <c r="E94" s="11"/>
      <c r="F94" s="11"/>
      <c r="G94" s="12"/>
      <c r="H94" s="12"/>
      <c r="I94" s="12"/>
      <c r="J94" s="12"/>
      <c r="K94" s="12"/>
      <c r="L94" s="12"/>
      <c r="M94" s="12"/>
      <c r="N94" s="12"/>
      <c r="O94" s="16"/>
      <c r="P94" s="12"/>
      <c r="Q94" s="16"/>
      <c r="R94" s="13"/>
      <c r="S94" s="13"/>
      <c r="T94" s="13"/>
      <c r="U94" s="13"/>
      <c r="V94" s="13"/>
      <c r="W94" s="13"/>
      <c r="X94" s="13"/>
      <c r="Y94" s="13"/>
      <c r="Z94" s="13"/>
      <c r="AA94" s="13"/>
      <c r="AB94" s="13"/>
      <c r="AC94" s="13"/>
      <c r="AD94" s="13"/>
      <c r="AE94" s="13"/>
      <c r="AF94" s="13"/>
      <c r="AG94" s="13"/>
    </row>
    <row r="95" spans="1:33" s="10" customFormat="1" x14ac:dyDescent="0.2">
      <c r="B95" s="10" t="s">
        <v>578</v>
      </c>
      <c r="E95" s="11"/>
      <c r="F95" s="14"/>
      <c r="G95" s="29"/>
      <c r="H95" s="29"/>
      <c r="I95" s="29"/>
      <c r="J95" s="29"/>
      <c r="K95" s="29"/>
      <c r="L95" s="29"/>
      <c r="M95" s="29"/>
      <c r="N95" s="29"/>
      <c r="O95" s="194">
        <f>SUM(G95:N95)</f>
        <v>0</v>
      </c>
      <c r="P95" s="29"/>
      <c r="Q95" s="194">
        <f t="shared" ref="Q95:Q104" si="11">SUM(O95:P95)</f>
        <v>0</v>
      </c>
      <c r="R95" s="13"/>
      <c r="S95" s="13"/>
      <c r="T95" s="13"/>
      <c r="U95" s="13"/>
      <c r="V95" s="13"/>
      <c r="W95" s="13"/>
      <c r="X95" s="13"/>
      <c r="Y95" s="13"/>
      <c r="Z95" s="13"/>
      <c r="AA95" s="13"/>
      <c r="AB95" s="13"/>
      <c r="AC95" s="13"/>
      <c r="AD95" s="13"/>
      <c r="AE95" s="13"/>
      <c r="AF95" s="13"/>
      <c r="AG95" s="13"/>
    </row>
    <row r="96" spans="1:33" s="10" customFormat="1" hidden="1" x14ac:dyDescent="0.2">
      <c r="E96" s="493"/>
      <c r="F96" s="493"/>
      <c r="G96" s="493"/>
      <c r="H96" s="493"/>
      <c r="I96" s="493"/>
      <c r="J96" s="493"/>
      <c r="K96" s="493"/>
      <c r="L96" s="493"/>
      <c r="M96" s="493"/>
      <c r="N96" s="493"/>
      <c r="O96" s="493"/>
      <c r="P96" s="493"/>
      <c r="Q96" s="493"/>
      <c r="R96" s="13"/>
      <c r="S96" s="13"/>
      <c r="T96" s="13"/>
      <c r="U96" s="13"/>
      <c r="V96" s="13"/>
      <c r="W96" s="13"/>
      <c r="X96" s="13"/>
      <c r="Y96" s="13"/>
      <c r="Z96" s="13"/>
      <c r="AA96" s="13"/>
      <c r="AB96" s="13"/>
      <c r="AC96" s="13"/>
      <c r="AD96" s="13"/>
      <c r="AE96" s="13"/>
      <c r="AF96" s="13"/>
      <c r="AG96" s="13"/>
    </row>
    <row r="97" spans="1:33" s="10" customFormat="1" x14ac:dyDescent="0.2">
      <c r="B97" s="10" t="s">
        <v>751</v>
      </c>
      <c r="E97" s="493" t="s">
        <v>970</v>
      </c>
      <c r="F97" s="14"/>
      <c r="G97" s="29"/>
      <c r="H97" s="29"/>
      <c r="I97" s="29"/>
      <c r="J97" s="29"/>
      <c r="K97" s="29"/>
      <c r="L97" s="29"/>
      <c r="M97" s="29"/>
      <c r="N97" s="29"/>
      <c r="O97" s="194">
        <f t="shared" ref="O97:O104" si="12">SUM(G97:N97)</f>
        <v>0</v>
      </c>
      <c r="P97" s="29"/>
      <c r="Q97" s="194">
        <f t="shared" si="11"/>
        <v>0</v>
      </c>
      <c r="R97" s="13"/>
      <c r="S97" s="13"/>
      <c r="T97" s="13"/>
      <c r="U97" s="13"/>
      <c r="V97" s="13"/>
      <c r="W97" s="13"/>
      <c r="X97" s="13"/>
      <c r="Y97" s="13"/>
      <c r="Z97" s="13"/>
      <c r="AA97" s="13"/>
      <c r="AB97" s="13"/>
      <c r="AC97" s="13"/>
      <c r="AD97" s="13"/>
      <c r="AE97" s="13"/>
      <c r="AF97" s="13"/>
      <c r="AG97" s="13"/>
    </row>
    <row r="98" spans="1:33" s="10" customFormat="1" x14ac:dyDescent="0.2">
      <c r="B98" s="10" t="s">
        <v>116</v>
      </c>
      <c r="E98" s="493" t="s">
        <v>971</v>
      </c>
      <c r="F98" s="14"/>
      <c r="G98" s="29"/>
      <c r="H98" s="29"/>
      <c r="I98" s="29"/>
      <c r="J98" s="29"/>
      <c r="K98" s="29"/>
      <c r="L98" s="29"/>
      <c r="M98" s="29"/>
      <c r="N98" s="29"/>
      <c r="O98" s="194">
        <f t="shared" si="12"/>
        <v>0</v>
      </c>
      <c r="P98" s="29"/>
      <c r="Q98" s="194">
        <f t="shared" si="11"/>
        <v>0</v>
      </c>
      <c r="R98" s="13"/>
      <c r="S98" s="13"/>
      <c r="T98" s="13"/>
      <c r="U98" s="13"/>
      <c r="V98" s="13"/>
      <c r="W98" s="13"/>
      <c r="X98" s="13"/>
      <c r="Y98" s="13"/>
      <c r="Z98" s="13"/>
      <c r="AA98" s="13"/>
      <c r="AB98" s="13"/>
      <c r="AC98" s="13"/>
      <c r="AD98" s="13"/>
      <c r="AE98" s="13"/>
      <c r="AF98" s="13"/>
      <c r="AG98" s="13"/>
    </row>
    <row r="99" spans="1:33" s="10" customFormat="1" x14ac:dyDescent="0.2">
      <c r="B99" s="10" t="s">
        <v>816</v>
      </c>
      <c r="E99" s="274" t="s">
        <v>561</v>
      </c>
      <c r="F99" s="14"/>
      <c r="G99" s="29"/>
      <c r="H99" s="29"/>
      <c r="I99" s="29"/>
      <c r="J99" s="29"/>
      <c r="K99" s="29"/>
      <c r="L99" s="29"/>
      <c r="M99" s="29"/>
      <c r="N99" s="29"/>
      <c r="O99" s="194">
        <f t="shared" si="12"/>
        <v>0</v>
      </c>
      <c r="P99" s="29"/>
      <c r="Q99" s="194">
        <f t="shared" si="11"/>
        <v>0</v>
      </c>
      <c r="R99" s="13"/>
      <c r="S99" s="13"/>
      <c r="T99" s="13"/>
      <c r="U99" s="13"/>
      <c r="V99" s="13"/>
      <c r="W99" s="13"/>
      <c r="X99" s="13"/>
      <c r="Y99" s="13"/>
      <c r="Z99" s="13"/>
      <c r="AA99" s="13"/>
      <c r="AB99" s="13"/>
      <c r="AC99" s="13"/>
      <c r="AD99" s="13"/>
      <c r="AE99" s="13"/>
      <c r="AF99" s="13"/>
      <c r="AG99" s="13"/>
    </row>
    <row r="100" spans="1:33" s="10" customFormat="1" x14ac:dyDescent="0.2">
      <c r="B100" s="10" t="s">
        <v>716</v>
      </c>
      <c r="E100" s="493" t="s">
        <v>1508</v>
      </c>
      <c r="F100" s="14"/>
      <c r="G100" s="29"/>
      <c r="H100" s="29"/>
      <c r="I100" s="29"/>
      <c r="J100" s="29"/>
      <c r="K100" s="29"/>
      <c r="L100" s="29"/>
      <c r="M100" s="29"/>
      <c r="N100" s="29"/>
      <c r="O100" s="194">
        <f t="shared" si="12"/>
        <v>0</v>
      </c>
      <c r="P100" s="29"/>
      <c r="Q100" s="194">
        <f t="shared" si="11"/>
        <v>0</v>
      </c>
      <c r="R100" s="13"/>
      <c r="S100" s="13"/>
      <c r="T100" s="13"/>
      <c r="U100" s="13"/>
      <c r="V100" s="13"/>
      <c r="W100" s="13"/>
      <c r="X100" s="13"/>
      <c r="Y100" s="13"/>
      <c r="Z100" s="13"/>
      <c r="AA100" s="13"/>
      <c r="AB100" s="13"/>
      <c r="AC100" s="13"/>
      <c r="AD100" s="13"/>
      <c r="AE100" s="13"/>
      <c r="AF100" s="13"/>
      <c r="AG100" s="13"/>
    </row>
    <row r="101" spans="1:33" s="10" customFormat="1" hidden="1" x14ac:dyDescent="0.2">
      <c r="B101" s="686" t="s">
        <v>1280</v>
      </c>
      <c r="C101" s="686"/>
      <c r="D101" s="686"/>
      <c r="E101" s="493" t="s">
        <v>1311</v>
      </c>
      <c r="F101" s="14"/>
      <c r="G101" s="985"/>
      <c r="H101" s="985"/>
      <c r="I101" s="985"/>
      <c r="J101" s="985"/>
      <c r="K101" s="985"/>
      <c r="L101" s="985"/>
      <c r="M101" s="985"/>
      <c r="N101" s="985"/>
      <c r="O101" s="194">
        <f t="shared" si="12"/>
        <v>0</v>
      </c>
      <c r="P101" s="985"/>
      <c r="Q101" s="194">
        <f t="shared" si="11"/>
        <v>0</v>
      </c>
      <c r="R101" s="13"/>
      <c r="S101" s="13"/>
      <c r="T101" s="13"/>
      <c r="U101" s="13"/>
      <c r="V101" s="13"/>
      <c r="W101" s="13"/>
      <c r="X101" s="13"/>
      <c r="Y101" s="13"/>
      <c r="Z101" s="13"/>
      <c r="AA101" s="13"/>
      <c r="AB101" s="13"/>
      <c r="AC101" s="13"/>
      <c r="AD101" s="13"/>
      <c r="AE101" s="13"/>
      <c r="AF101" s="13"/>
      <c r="AG101" s="13"/>
    </row>
    <row r="102" spans="1:33" s="10" customFormat="1" ht="24" hidden="1" customHeight="1" x14ac:dyDescent="0.2">
      <c r="B102" s="1200" t="s">
        <v>1306</v>
      </c>
      <c r="C102" s="1200"/>
      <c r="D102" s="1200"/>
      <c r="E102" s="493" t="s">
        <v>1311</v>
      </c>
      <c r="F102" s="14"/>
      <c r="G102" s="985"/>
      <c r="H102" s="985"/>
      <c r="I102" s="985"/>
      <c r="J102" s="985"/>
      <c r="K102" s="985"/>
      <c r="L102" s="985"/>
      <c r="M102" s="985"/>
      <c r="N102" s="985"/>
      <c r="O102" s="194">
        <f t="shared" si="12"/>
        <v>0</v>
      </c>
      <c r="P102" s="985"/>
      <c r="Q102" s="194">
        <f t="shared" si="11"/>
        <v>0</v>
      </c>
      <c r="R102" s="13"/>
      <c r="S102" s="13"/>
      <c r="T102" s="13"/>
      <c r="U102" s="13"/>
      <c r="V102" s="13"/>
      <c r="W102" s="13"/>
      <c r="X102" s="13"/>
      <c r="Y102" s="13"/>
      <c r="Z102" s="13"/>
      <c r="AA102" s="13"/>
      <c r="AB102" s="13"/>
      <c r="AC102" s="13"/>
      <c r="AD102" s="13"/>
      <c r="AE102" s="13"/>
      <c r="AF102" s="13"/>
      <c r="AG102" s="13"/>
    </row>
    <row r="103" spans="1:33" s="10" customFormat="1" x14ac:dyDescent="0.2">
      <c r="B103" s="10" t="s">
        <v>82</v>
      </c>
      <c r="E103" s="11"/>
      <c r="F103" s="14"/>
      <c r="G103" s="29"/>
      <c r="H103" s="29"/>
      <c r="I103" s="29"/>
      <c r="J103" s="29"/>
      <c r="K103" s="29"/>
      <c r="L103" s="29"/>
      <c r="M103" s="29"/>
      <c r="N103" s="29"/>
      <c r="O103" s="194">
        <f t="shared" si="12"/>
        <v>0</v>
      </c>
      <c r="P103" s="29"/>
      <c r="Q103" s="194">
        <f t="shared" si="11"/>
        <v>0</v>
      </c>
      <c r="R103" s="13"/>
      <c r="S103" s="13"/>
      <c r="T103" s="13"/>
      <c r="U103" s="13"/>
      <c r="V103" s="13"/>
      <c r="W103" s="13"/>
      <c r="X103" s="13"/>
      <c r="Y103" s="13"/>
      <c r="Z103" s="13"/>
      <c r="AA103" s="13"/>
      <c r="AB103" s="13"/>
      <c r="AC103" s="13"/>
      <c r="AD103" s="13"/>
      <c r="AE103" s="13"/>
      <c r="AF103" s="13"/>
      <c r="AG103" s="13"/>
    </row>
    <row r="104" spans="1:33" s="10" customFormat="1" x14ac:dyDescent="0.2">
      <c r="B104" s="10" t="s">
        <v>760</v>
      </c>
      <c r="E104" s="493" t="s">
        <v>1400</v>
      </c>
      <c r="F104" s="14"/>
      <c r="G104" s="29"/>
      <c r="H104" s="29"/>
      <c r="I104" s="29"/>
      <c r="J104" s="29"/>
      <c r="K104" s="29"/>
      <c r="L104" s="29"/>
      <c r="M104" s="29"/>
      <c r="N104" s="29"/>
      <c r="O104" s="194">
        <f t="shared" si="12"/>
        <v>0</v>
      </c>
      <c r="P104" s="29"/>
      <c r="Q104" s="194">
        <f t="shared" si="11"/>
        <v>0</v>
      </c>
      <c r="R104" s="13"/>
      <c r="S104" s="13"/>
      <c r="T104" s="13"/>
      <c r="U104" s="13"/>
      <c r="V104" s="13"/>
      <c r="W104" s="13"/>
      <c r="X104" s="13"/>
      <c r="Y104" s="13"/>
      <c r="Z104" s="13"/>
      <c r="AA104" s="13"/>
      <c r="AB104" s="13"/>
      <c r="AC104" s="13"/>
      <c r="AD104" s="13"/>
      <c r="AE104" s="13"/>
      <c r="AF104" s="13"/>
      <c r="AG104" s="13"/>
    </row>
    <row r="105" spans="1:33" s="10" customFormat="1" x14ac:dyDescent="0.2">
      <c r="C105" s="18" t="s">
        <v>291</v>
      </c>
      <c r="E105" s="11"/>
      <c r="F105" s="11"/>
      <c r="G105" s="15">
        <f>SUM(G95:G104)</f>
        <v>0</v>
      </c>
      <c r="H105" s="15">
        <f t="shared" ref="H105:Q105" si="13">SUM(H95:H104)</f>
        <v>0</v>
      </c>
      <c r="I105" s="15">
        <f t="shared" si="13"/>
        <v>0</v>
      </c>
      <c r="J105" s="15">
        <f t="shared" si="13"/>
        <v>0</v>
      </c>
      <c r="K105" s="15">
        <f t="shared" si="13"/>
        <v>0</v>
      </c>
      <c r="L105" s="15">
        <f t="shared" si="13"/>
        <v>0</v>
      </c>
      <c r="M105" s="15">
        <f>SUM(M95:M104)</f>
        <v>0</v>
      </c>
      <c r="N105" s="15">
        <f>SUM(N95:N104)</f>
        <v>0</v>
      </c>
      <c r="O105" s="15">
        <f>SUM(O95:O104)</f>
        <v>0</v>
      </c>
      <c r="P105" s="15">
        <f t="shared" si="13"/>
        <v>0</v>
      </c>
      <c r="Q105" s="15">
        <f t="shared" si="13"/>
        <v>0</v>
      </c>
      <c r="R105" s="13"/>
      <c r="S105" s="13"/>
      <c r="T105" s="13"/>
      <c r="U105" s="13"/>
      <c r="V105" s="13"/>
      <c r="W105" s="13"/>
      <c r="X105" s="13"/>
      <c r="Y105" s="13"/>
      <c r="Z105" s="13"/>
      <c r="AA105" s="13"/>
      <c r="AB105" s="13"/>
      <c r="AC105" s="13"/>
      <c r="AD105" s="13"/>
      <c r="AE105" s="13"/>
      <c r="AF105" s="13"/>
      <c r="AG105" s="13"/>
    </row>
    <row r="106" spans="1:33" s="10" customFormat="1" x14ac:dyDescent="0.2">
      <c r="E106" s="11"/>
      <c r="F106" s="11"/>
      <c r="G106" s="12"/>
      <c r="H106" s="12"/>
      <c r="I106" s="12"/>
      <c r="J106" s="12"/>
      <c r="K106" s="12"/>
      <c r="L106" s="12"/>
      <c r="M106" s="12"/>
      <c r="N106" s="12"/>
      <c r="O106" s="16"/>
      <c r="P106" s="12"/>
      <c r="Q106" s="16"/>
      <c r="R106" s="13"/>
      <c r="S106" s="13"/>
      <c r="T106" s="13"/>
      <c r="U106" s="13"/>
      <c r="V106" s="13"/>
      <c r="W106" s="13"/>
      <c r="X106" s="13"/>
      <c r="Y106" s="13"/>
      <c r="Z106" s="13"/>
      <c r="AA106" s="13"/>
      <c r="AB106" s="13"/>
      <c r="AC106" s="13"/>
      <c r="AD106" s="13"/>
      <c r="AE106" s="13"/>
      <c r="AF106" s="13"/>
      <c r="AG106" s="13"/>
    </row>
    <row r="107" spans="1:33" s="10" customFormat="1" x14ac:dyDescent="0.2">
      <c r="D107" s="10" t="s">
        <v>491</v>
      </c>
      <c r="E107" s="11"/>
      <c r="F107" s="11"/>
      <c r="G107" s="15">
        <f>SUM(G63,G65:G69,G76,G79:G80,G92,G105)</f>
        <v>0</v>
      </c>
      <c r="H107" s="15">
        <f t="shared" ref="H107:Q107" si="14">SUM(H63,H65:H69,H76,H79:H80,H92,H105)</f>
        <v>0</v>
      </c>
      <c r="I107" s="15">
        <f t="shared" si="14"/>
        <v>0</v>
      </c>
      <c r="J107" s="15">
        <f t="shared" si="14"/>
        <v>0</v>
      </c>
      <c r="K107" s="15">
        <f t="shared" si="14"/>
        <v>0</v>
      </c>
      <c r="L107" s="15">
        <f t="shared" si="14"/>
        <v>0</v>
      </c>
      <c r="M107" s="15">
        <f t="shared" si="14"/>
        <v>0</v>
      </c>
      <c r="N107" s="15">
        <f t="shared" si="14"/>
        <v>0</v>
      </c>
      <c r="O107" s="15">
        <f>SUM(O63,O65:O69,O76,O79:O80,O92,O105)</f>
        <v>0</v>
      </c>
      <c r="P107" s="15">
        <f t="shared" si="14"/>
        <v>0</v>
      </c>
      <c r="Q107" s="15">
        <f t="shared" si="14"/>
        <v>0</v>
      </c>
      <c r="R107" s="13"/>
      <c r="S107" s="13"/>
      <c r="T107" s="13"/>
      <c r="U107" s="13"/>
      <c r="V107" s="13"/>
      <c r="W107" s="13"/>
      <c r="X107" s="13"/>
      <c r="Y107" s="13"/>
      <c r="Z107" s="13"/>
      <c r="AA107" s="13"/>
      <c r="AB107" s="13"/>
      <c r="AC107" s="13"/>
      <c r="AD107" s="13"/>
      <c r="AE107" s="13"/>
      <c r="AF107" s="13"/>
      <c r="AG107" s="13"/>
    </row>
    <row r="108" spans="1:33" s="10" customFormat="1" ht="93" customHeight="1" x14ac:dyDescent="0.2">
      <c r="A108" s="1197" t="s">
        <v>1414</v>
      </c>
      <c r="B108" s="1198"/>
      <c r="C108" s="1198"/>
      <c r="D108" s="1198"/>
      <c r="E108" s="1199"/>
      <c r="F108" s="11"/>
      <c r="G108" s="12"/>
      <c r="H108" s="12"/>
      <c r="I108" s="12"/>
      <c r="J108" s="12"/>
      <c r="K108" s="12"/>
      <c r="L108" s="12"/>
      <c r="M108" s="12"/>
      <c r="N108" s="12"/>
      <c r="O108" s="16"/>
      <c r="P108" s="12"/>
      <c r="Q108" s="16"/>
      <c r="R108" s="13"/>
      <c r="S108" s="13"/>
      <c r="T108" s="13"/>
      <c r="U108" s="13"/>
      <c r="V108" s="13"/>
      <c r="W108" s="13"/>
      <c r="X108" s="13"/>
      <c r="Y108" s="13"/>
      <c r="Z108" s="13"/>
      <c r="AA108" s="13"/>
      <c r="AB108" s="13"/>
      <c r="AC108" s="13"/>
      <c r="AD108" s="13"/>
      <c r="AE108" s="13"/>
      <c r="AF108" s="13"/>
      <c r="AG108" s="13"/>
    </row>
    <row r="109" spans="1:33" s="10" customFormat="1" x14ac:dyDescent="0.2">
      <c r="A109" s="1" t="s">
        <v>854</v>
      </c>
      <c r="E109" s="11"/>
      <c r="F109" s="11"/>
      <c r="G109" s="12"/>
      <c r="H109" s="12"/>
      <c r="I109" s="12"/>
      <c r="J109" s="12"/>
      <c r="K109" s="12"/>
      <c r="L109" s="12"/>
      <c r="M109" s="12"/>
      <c r="N109" s="12"/>
      <c r="O109" s="16"/>
      <c r="P109" s="12"/>
      <c r="Q109" s="16"/>
      <c r="R109" s="13"/>
      <c r="S109" s="13"/>
      <c r="T109" s="13"/>
      <c r="U109" s="13"/>
      <c r="V109" s="13"/>
      <c r="W109" s="13"/>
      <c r="X109" s="13"/>
      <c r="Y109" s="13"/>
      <c r="Z109" s="13"/>
      <c r="AA109" s="13"/>
      <c r="AB109" s="13"/>
      <c r="AC109" s="13"/>
      <c r="AD109" s="13"/>
      <c r="AE109" s="13"/>
      <c r="AF109" s="13"/>
      <c r="AG109" s="13"/>
    </row>
    <row r="110" spans="1:33" s="10" customFormat="1" x14ac:dyDescent="0.2">
      <c r="A110" s="18" t="s">
        <v>853</v>
      </c>
      <c r="E110" s="11" t="s">
        <v>314</v>
      </c>
      <c r="F110" s="11"/>
      <c r="G110" s="29"/>
      <c r="H110" s="29"/>
      <c r="I110" s="29"/>
      <c r="J110" s="29"/>
      <c r="K110" s="29"/>
      <c r="L110" s="29"/>
      <c r="M110" s="29"/>
      <c r="N110" s="29"/>
      <c r="O110" s="194">
        <f>SUM(G110:N110)</f>
        <v>0</v>
      </c>
      <c r="P110" s="29"/>
      <c r="Q110" s="194">
        <f>SUM(O110:P110)</f>
        <v>0</v>
      </c>
      <c r="R110" s="13"/>
      <c r="S110" s="13"/>
      <c r="T110" s="13"/>
      <c r="U110" s="13"/>
      <c r="V110" s="13"/>
      <c r="W110" s="13"/>
      <c r="X110" s="13"/>
      <c r="Y110" s="13"/>
      <c r="Z110" s="13"/>
      <c r="AA110" s="13"/>
      <c r="AB110" s="13"/>
      <c r="AC110" s="13"/>
      <c r="AD110" s="13"/>
      <c r="AE110" s="13"/>
      <c r="AF110" s="13"/>
      <c r="AG110" s="13"/>
    </row>
    <row r="111" spans="1:33" s="10" customFormat="1" x14ac:dyDescent="0.2">
      <c r="A111" s="18" t="s">
        <v>762</v>
      </c>
      <c r="E111" s="11"/>
      <c r="F111" s="11"/>
      <c r="H111" s="12"/>
      <c r="I111" s="12"/>
      <c r="J111" s="12"/>
      <c r="K111" s="12"/>
      <c r="L111" s="12"/>
      <c r="M111" s="12"/>
      <c r="N111" s="12"/>
      <c r="O111" s="16"/>
      <c r="P111" s="12"/>
      <c r="Q111" s="16"/>
      <c r="R111" s="13"/>
      <c r="S111" s="13"/>
      <c r="T111" s="13"/>
      <c r="U111" s="13"/>
      <c r="V111" s="13"/>
      <c r="W111" s="13"/>
      <c r="X111" s="13"/>
      <c r="Y111" s="13"/>
      <c r="Z111" s="13"/>
      <c r="AA111" s="13"/>
      <c r="AB111" s="13"/>
      <c r="AC111" s="13"/>
      <c r="AD111" s="13"/>
      <c r="AE111" s="13"/>
      <c r="AF111" s="13"/>
      <c r="AG111" s="13"/>
    </row>
    <row r="112" spans="1:33" s="10" customFormat="1" x14ac:dyDescent="0.2">
      <c r="B112" s="18" t="s">
        <v>763</v>
      </c>
      <c r="E112" s="11"/>
      <c r="F112" s="11"/>
      <c r="G112" s="12"/>
      <c r="H112" s="16"/>
      <c r="I112" s="16"/>
      <c r="J112" s="16"/>
      <c r="K112" s="16"/>
      <c r="L112" s="16"/>
      <c r="M112" s="16"/>
      <c r="N112" s="16"/>
      <c r="O112" s="16"/>
      <c r="P112" s="16"/>
      <c r="Q112" s="16"/>
      <c r="R112" s="13"/>
      <c r="S112" s="13"/>
      <c r="T112" s="13"/>
      <c r="U112" s="13"/>
      <c r="V112" s="13"/>
      <c r="W112" s="13"/>
      <c r="X112" s="13"/>
      <c r="Y112" s="13"/>
      <c r="Z112" s="13"/>
      <c r="AA112" s="13"/>
      <c r="AB112" s="13"/>
      <c r="AC112" s="13"/>
      <c r="AD112" s="13"/>
      <c r="AE112" s="13"/>
      <c r="AF112" s="13"/>
      <c r="AG112" s="13"/>
    </row>
    <row r="113" spans="1:33" s="10" customFormat="1" x14ac:dyDescent="0.2">
      <c r="C113" s="211" t="s">
        <v>1022</v>
      </c>
      <c r="E113" s="11"/>
      <c r="F113" s="11"/>
      <c r="G113" s="29"/>
      <c r="H113" s="29"/>
      <c r="I113" s="29"/>
      <c r="J113" s="29"/>
      <c r="K113" s="29"/>
      <c r="L113" s="29"/>
      <c r="M113" s="29"/>
      <c r="N113" s="29"/>
      <c r="O113" s="194">
        <f>SUM(G113:N113)</f>
        <v>0</v>
      </c>
      <c r="P113" s="29"/>
      <c r="Q113" s="194">
        <f>SUM(O113:P113)</f>
        <v>0</v>
      </c>
      <c r="R113" s="13"/>
      <c r="S113" s="13"/>
      <c r="T113" s="13"/>
      <c r="U113" s="13"/>
      <c r="V113" s="13"/>
      <c r="W113" s="13"/>
      <c r="X113" s="13"/>
      <c r="Y113" s="13"/>
      <c r="Z113" s="13"/>
      <c r="AA113" s="13"/>
      <c r="AB113" s="13"/>
      <c r="AC113" s="13"/>
      <c r="AD113" s="13"/>
      <c r="AE113" s="13"/>
      <c r="AF113" s="13"/>
      <c r="AG113" s="13"/>
    </row>
    <row r="114" spans="1:33" s="10" customFormat="1" x14ac:dyDescent="0.2">
      <c r="B114" s="18" t="s">
        <v>764</v>
      </c>
      <c r="C114" s="18"/>
      <c r="E114" s="11"/>
      <c r="F114" s="11"/>
      <c r="G114" s="12"/>
      <c r="H114" s="12"/>
      <c r="I114" s="12"/>
      <c r="J114" s="12"/>
      <c r="K114" s="12"/>
      <c r="L114" s="12"/>
      <c r="M114" s="12"/>
      <c r="N114" s="12"/>
      <c r="O114" s="16"/>
      <c r="P114" s="12"/>
      <c r="Q114" s="16"/>
      <c r="R114" s="13"/>
      <c r="S114" s="13"/>
      <c r="T114" s="13"/>
      <c r="U114" s="13"/>
      <c r="V114" s="13"/>
      <c r="W114" s="13"/>
      <c r="X114" s="13"/>
      <c r="Y114" s="13"/>
      <c r="Z114" s="13"/>
      <c r="AA114" s="13"/>
      <c r="AB114" s="13"/>
      <c r="AC114" s="13"/>
      <c r="AD114" s="13"/>
      <c r="AE114" s="13"/>
      <c r="AF114" s="13"/>
      <c r="AG114" s="13"/>
    </row>
    <row r="115" spans="1:33" s="10" customFormat="1" x14ac:dyDescent="0.2">
      <c r="C115" s="211" t="s">
        <v>1022</v>
      </c>
      <c r="E115" s="11"/>
      <c r="F115" s="11"/>
      <c r="G115" s="29"/>
      <c r="H115" s="29"/>
      <c r="I115" s="29"/>
      <c r="J115" s="29"/>
      <c r="K115" s="29"/>
      <c r="L115" s="29"/>
      <c r="M115" s="29"/>
      <c r="N115" s="29"/>
      <c r="O115" s="194">
        <f>SUM(G115:N115)</f>
        <v>0</v>
      </c>
      <c r="P115" s="29"/>
      <c r="Q115" s="194">
        <f>SUM(O115:P115)</f>
        <v>0</v>
      </c>
      <c r="R115" s="13"/>
      <c r="S115" s="13"/>
      <c r="T115" s="13"/>
      <c r="U115" s="13"/>
      <c r="V115" s="13"/>
      <c r="W115" s="13"/>
      <c r="X115" s="13"/>
      <c r="Y115" s="13"/>
      <c r="Z115" s="13"/>
      <c r="AA115" s="13"/>
      <c r="AB115" s="13"/>
      <c r="AC115" s="13"/>
      <c r="AD115" s="13"/>
      <c r="AE115" s="13"/>
      <c r="AF115" s="13"/>
      <c r="AG115" s="13"/>
    </row>
    <row r="116" spans="1:33" s="10" customFormat="1" x14ac:dyDescent="0.2">
      <c r="A116" s="18" t="s">
        <v>495</v>
      </c>
      <c r="E116" s="11"/>
      <c r="F116" s="11"/>
      <c r="G116" s="29"/>
      <c r="H116" s="29"/>
      <c r="I116" s="29"/>
      <c r="J116" s="29"/>
      <c r="K116" s="29"/>
      <c r="L116" s="29"/>
      <c r="M116" s="29"/>
      <c r="N116" s="29"/>
      <c r="O116" s="194">
        <f>SUM(G116:N116)</f>
        <v>0</v>
      </c>
      <c r="P116" s="29"/>
      <c r="Q116" s="194">
        <f>SUM(O116:P116)</f>
        <v>0</v>
      </c>
      <c r="R116" s="13"/>
      <c r="S116" s="13"/>
      <c r="T116" s="13"/>
      <c r="U116" s="13"/>
      <c r="V116" s="13"/>
      <c r="W116" s="13"/>
      <c r="X116" s="13"/>
      <c r="Y116" s="13"/>
      <c r="Z116" s="13"/>
      <c r="AA116" s="13"/>
      <c r="AB116" s="13"/>
      <c r="AC116" s="13"/>
      <c r="AD116" s="13"/>
      <c r="AE116" s="13"/>
      <c r="AF116" s="13"/>
      <c r="AG116" s="13"/>
    </row>
    <row r="117" spans="1:33" s="10" customFormat="1" ht="12.75" thickBot="1" x14ac:dyDescent="0.25">
      <c r="A117" s="18" t="s">
        <v>855</v>
      </c>
      <c r="E117" s="11"/>
      <c r="F117" s="11"/>
      <c r="G117" s="20">
        <f>IF(SUM(G110,G113,G115,G116)=SUM(G60-G107),SUM(G110,G113,G115,G116),"ERROR")</f>
        <v>0</v>
      </c>
      <c r="H117" s="20">
        <f t="shared" ref="H117:Q117" si="15">IF(SUM(H110,H113,H115,H116)=SUM(H60-H107),SUM(H110,H113,H115,H116),"ERROR")</f>
        <v>0</v>
      </c>
      <c r="I117" s="20">
        <f t="shared" si="15"/>
        <v>0</v>
      </c>
      <c r="J117" s="20">
        <f t="shared" si="15"/>
        <v>0</v>
      </c>
      <c r="K117" s="20">
        <f t="shared" si="15"/>
        <v>0</v>
      </c>
      <c r="L117" s="20">
        <f t="shared" si="15"/>
        <v>0</v>
      </c>
      <c r="M117" s="20">
        <f t="shared" si="15"/>
        <v>0</v>
      </c>
      <c r="N117" s="20">
        <f t="shared" si="15"/>
        <v>0</v>
      </c>
      <c r="O117" s="20">
        <f t="shared" si="15"/>
        <v>0</v>
      </c>
      <c r="P117" s="20">
        <f t="shared" si="15"/>
        <v>0</v>
      </c>
      <c r="Q117" s="20">
        <f t="shared" si="15"/>
        <v>0</v>
      </c>
      <c r="R117" s="13"/>
      <c r="S117" s="13"/>
      <c r="T117" s="13"/>
      <c r="U117" s="13"/>
      <c r="V117" s="13"/>
      <c r="W117" s="13"/>
      <c r="X117" s="13"/>
      <c r="Y117" s="13"/>
      <c r="Z117" s="13"/>
      <c r="AA117" s="13"/>
      <c r="AB117" s="13"/>
      <c r="AC117" s="13"/>
      <c r="AD117" s="13"/>
      <c r="AE117" s="13"/>
      <c r="AF117" s="13"/>
      <c r="AG117" s="13"/>
    </row>
    <row r="118" spans="1:33" s="10" customFormat="1" ht="32.25" customHeight="1" thickTop="1" x14ac:dyDescent="0.2">
      <c r="A118" s="1165" t="s">
        <v>866</v>
      </c>
      <c r="B118" s="1166"/>
      <c r="C118" s="1166"/>
      <c r="D118" s="1166"/>
      <c r="E118" s="1167"/>
      <c r="F118" s="11"/>
      <c r="G118" s="12"/>
      <c r="H118" s="12"/>
      <c r="I118" s="12"/>
      <c r="J118" s="12"/>
      <c r="K118" s="12"/>
      <c r="L118" s="12"/>
      <c r="M118" s="12"/>
      <c r="N118" s="12"/>
      <c r="O118" s="16"/>
      <c r="P118" s="12"/>
      <c r="Q118" s="16"/>
      <c r="R118" s="13"/>
      <c r="S118" s="13"/>
      <c r="T118" s="13"/>
      <c r="U118" s="13"/>
      <c r="V118" s="13"/>
      <c r="W118" s="13"/>
      <c r="X118" s="13"/>
      <c r="Y118" s="13"/>
      <c r="Z118" s="13"/>
      <c r="AA118" s="13"/>
      <c r="AB118" s="13"/>
      <c r="AC118" s="13"/>
      <c r="AD118" s="13"/>
      <c r="AE118" s="13"/>
      <c r="AF118" s="13"/>
      <c r="AG118" s="13"/>
    </row>
    <row r="119" spans="1:33" s="10" customFormat="1" ht="12.75" x14ac:dyDescent="0.2">
      <c r="B119"/>
      <c r="C119"/>
      <c r="D119"/>
      <c r="E119" s="409" t="s">
        <v>19</v>
      </c>
      <c r="F119" s="11"/>
      <c r="G119" s="410">
        <f>G60-G107</f>
        <v>0</v>
      </c>
      <c r="H119" s="410">
        <f t="shared" ref="H119:Q119" si="16">H60-H107</f>
        <v>0</v>
      </c>
      <c r="I119" s="410">
        <f t="shared" si="16"/>
        <v>0</v>
      </c>
      <c r="J119" s="410">
        <f t="shared" si="16"/>
        <v>0</v>
      </c>
      <c r="K119" s="410">
        <f t="shared" si="16"/>
        <v>0</v>
      </c>
      <c r="L119" s="410">
        <f t="shared" si="16"/>
        <v>0</v>
      </c>
      <c r="M119" s="410">
        <f t="shared" si="16"/>
        <v>0</v>
      </c>
      <c r="N119" s="410">
        <f t="shared" si="16"/>
        <v>0</v>
      </c>
      <c r="O119" s="410">
        <f t="shared" si="16"/>
        <v>0</v>
      </c>
      <c r="P119" s="410">
        <f t="shared" si="16"/>
        <v>0</v>
      </c>
      <c r="Q119" s="410">
        <f t="shared" si="16"/>
        <v>0</v>
      </c>
      <c r="R119" s="13"/>
      <c r="S119" s="13"/>
      <c r="T119" s="13"/>
      <c r="U119" s="13"/>
      <c r="V119" s="13"/>
      <c r="W119" s="13"/>
      <c r="X119" s="13"/>
      <c r="Y119" s="13"/>
      <c r="Z119" s="13"/>
      <c r="AA119" s="13"/>
      <c r="AB119" s="13"/>
      <c r="AC119" s="13"/>
      <c r="AD119" s="13"/>
      <c r="AE119" s="13"/>
      <c r="AF119" s="13"/>
      <c r="AG119" s="13"/>
    </row>
    <row r="120" spans="1:33" s="10" customFormat="1" x14ac:dyDescent="0.2">
      <c r="E120" s="409" t="s">
        <v>857</v>
      </c>
      <c r="F120" s="11"/>
      <c r="G120" s="410">
        <f>SUM(G110,G113,G115,G116)</f>
        <v>0</v>
      </c>
      <c r="H120" s="410">
        <f t="shared" ref="H120:Q120" si="17">SUM(H110,H113,H115,H116)</f>
        <v>0</v>
      </c>
      <c r="I120" s="410">
        <f t="shared" si="17"/>
        <v>0</v>
      </c>
      <c r="J120" s="410">
        <f t="shared" si="17"/>
        <v>0</v>
      </c>
      <c r="K120" s="410">
        <f t="shared" si="17"/>
        <v>0</v>
      </c>
      <c r="L120" s="410">
        <f t="shared" si="17"/>
        <v>0</v>
      </c>
      <c r="M120" s="410">
        <f t="shared" si="17"/>
        <v>0</v>
      </c>
      <c r="N120" s="410">
        <f t="shared" si="17"/>
        <v>0</v>
      </c>
      <c r="O120" s="410">
        <f t="shared" si="17"/>
        <v>0</v>
      </c>
      <c r="P120" s="410">
        <f t="shared" si="17"/>
        <v>0</v>
      </c>
      <c r="Q120" s="410">
        <f t="shared" si="17"/>
        <v>0</v>
      </c>
      <c r="R120" s="13"/>
      <c r="S120" s="13"/>
      <c r="T120" s="13"/>
      <c r="U120" s="13"/>
      <c r="V120" s="13"/>
      <c r="W120" s="13"/>
      <c r="X120" s="13"/>
      <c r="Y120" s="13"/>
      <c r="Z120" s="13"/>
      <c r="AA120" s="13"/>
      <c r="AB120" s="13"/>
      <c r="AC120" s="13"/>
      <c r="AD120" s="13"/>
      <c r="AE120" s="13"/>
      <c r="AF120" s="13"/>
      <c r="AG120" s="13"/>
    </row>
    <row r="121" spans="1:33" s="10" customFormat="1" ht="12.75" x14ac:dyDescent="0.2">
      <c r="B121"/>
      <c r="C121"/>
      <c r="D121"/>
      <c r="E121" s="409" t="s">
        <v>114</v>
      </c>
      <c r="F121" s="11"/>
      <c r="G121" s="410">
        <f>G119-G120</f>
        <v>0</v>
      </c>
      <c r="H121" s="410">
        <f t="shared" ref="H121:Q121" si="18">H119-H120</f>
        <v>0</v>
      </c>
      <c r="I121" s="410">
        <f t="shared" si="18"/>
        <v>0</v>
      </c>
      <c r="J121" s="410">
        <f t="shared" si="18"/>
        <v>0</v>
      </c>
      <c r="K121" s="410">
        <f t="shared" si="18"/>
        <v>0</v>
      </c>
      <c r="L121" s="410">
        <f t="shared" si="18"/>
        <v>0</v>
      </c>
      <c r="M121" s="410">
        <f t="shared" si="18"/>
        <v>0</v>
      </c>
      <c r="N121" s="410">
        <f t="shared" si="18"/>
        <v>0</v>
      </c>
      <c r="O121" s="410">
        <f t="shared" si="18"/>
        <v>0</v>
      </c>
      <c r="P121" s="410">
        <f t="shared" si="18"/>
        <v>0</v>
      </c>
      <c r="Q121" s="410">
        <f t="shared" si="18"/>
        <v>0</v>
      </c>
      <c r="R121" s="13"/>
      <c r="S121" s="13"/>
      <c r="T121" s="13"/>
      <c r="U121" s="13"/>
      <c r="V121" s="13"/>
      <c r="W121" s="13"/>
      <c r="X121" s="13"/>
      <c r="Y121" s="13"/>
      <c r="Z121" s="13"/>
      <c r="AA121" s="13"/>
      <c r="AB121" s="13"/>
      <c r="AC121" s="13"/>
      <c r="AD121" s="13"/>
      <c r="AE121" s="13"/>
      <c r="AF121" s="13"/>
      <c r="AG121" s="13"/>
    </row>
    <row r="122" spans="1:33" s="10" customFormat="1" x14ac:dyDescent="0.2">
      <c r="E122" s="11"/>
      <c r="F122" s="11"/>
      <c r="G122" s="12"/>
      <c r="H122" s="12"/>
      <c r="I122" s="12"/>
      <c r="J122" s="12"/>
      <c r="K122" s="12"/>
      <c r="L122" s="12"/>
      <c r="M122" s="12"/>
      <c r="N122" s="12"/>
      <c r="O122" s="16"/>
      <c r="P122" s="12"/>
      <c r="Q122" s="16"/>
      <c r="R122" s="13"/>
      <c r="S122" s="13"/>
      <c r="T122" s="13"/>
      <c r="U122" s="13"/>
      <c r="V122" s="13"/>
      <c r="W122" s="13"/>
      <c r="X122" s="13"/>
      <c r="Y122" s="13"/>
      <c r="Z122" s="13"/>
      <c r="AA122" s="13"/>
      <c r="AB122" s="13"/>
      <c r="AC122" s="13"/>
      <c r="AD122" s="13"/>
      <c r="AE122" s="13"/>
      <c r="AF122" s="13"/>
      <c r="AG122" s="13"/>
    </row>
    <row r="123" spans="1:33" s="10" customFormat="1" x14ac:dyDescent="0.2">
      <c r="E123" s="11"/>
      <c r="F123" s="11"/>
      <c r="G123" s="12"/>
      <c r="H123" s="12"/>
      <c r="I123" s="12"/>
      <c r="J123" s="12"/>
      <c r="K123" s="12"/>
      <c r="L123" s="12"/>
      <c r="M123" s="12"/>
      <c r="N123" s="12"/>
      <c r="O123" s="16"/>
      <c r="P123" s="12"/>
      <c r="Q123" s="16"/>
      <c r="R123" s="13"/>
      <c r="S123" s="13"/>
      <c r="T123" s="13"/>
      <c r="U123" s="13"/>
      <c r="V123" s="13"/>
      <c r="W123" s="13"/>
      <c r="X123" s="13"/>
      <c r="Y123" s="13"/>
      <c r="Z123" s="13"/>
      <c r="AA123" s="13"/>
      <c r="AB123" s="13"/>
      <c r="AC123" s="13"/>
      <c r="AD123" s="13"/>
      <c r="AE123" s="13"/>
      <c r="AF123" s="13"/>
      <c r="AG123" s="13"/>
    </row>
    <row r="124" spans="1:33" s="10" customFormat="1" x14ac:dyDescent="0.2">
      <c r="E124" s="11"/>
      <c r="F124" s="11"/>
      <c r="G124" s="12"/>
      <c r="H124" s="12"/>
      <c r="I124" s="12"/>
      <c r="J124" s="12"/>
      <c r="K124" s="12"/>
      <c r="L124" s="12"/>
      <c r="M124" s="12"/>
      <c r="N124" s="12"/>
      <c r="O124" s="16"/>
      <c r="P124" s="12"/>
      <c r="Q124" s="16"/>
      <c r="R124" s="13"/>
      <c r="S124" s="13"/>
      <c r="T124" s="13"/>
      <c r="U124" s="13"/>
      <c r="V124" s="13"/>
      <c r="W124" s="13"/>
      <c r="X124" s="13"/>
      <c r="Y124" s="13"/>
      <c r="Z124" s="13"/>
      <c r="AA124" s="13"/>
      <c r="AB124" s="13"/>
      <c r="AC124" s="13"/>
      <c r="AD124" s="13"/>
      <c r="AE124" s="13"/>
      <c r="AF124" s="13"/>
      <c r="AG124" s="13"/>
    </row>
    <row r="125" spans="1:33" s="10" customFormat="1" x14ac:dyDescent="0.2">
      <c r="B125" s="21"/>
      <c r="E125" s="11"/>
      <c r="F125" s="11"/>
      <c r="G125" s="12"/>
      <c r="H125" s="12"/>
      <c r="I125" s="12"/>
      <c r="J125" s="12"/>
      <c r="K125" s="12"/>
      <c r="L125" s="12"/>
      <c r="M125" s="12"/>
      <c r="N125" s="12"/>
      <c r="O125" s="16"/>
      <c r="P125" s="12"/>
      <c r="Q125" s="16"/>
      <c r="R125" s="13"/>
      <c r="S125" s="13"/>
      <c r="T125" s="13"/>
      <c r="U125" s="13"/>
      <c r="V125" s="13"/>
      <c r="W125" s="13"/>
      <c r="X125" s="13"/>
      <c r="Y125" s="13"/>
      <c r="Z125" s="13"/>
      <c r="AA125" s="13"/>
      <c r="AB125" s="13"/>
      <c r="AC125" s="13"/>
      <c r="AD125" s="13"/>
      <c r="AE125" s="13"/>
      <c r="AF125" s="13"/>
      <c r="AG125" s="13"/>
    </row>
    <row r="126" spans="1:33" s="10" customFormat="1" x14ac:dyDescent="0.2">
      <c r="A126" s="1"/>
      <c r="B126" s="211"/>
      <c r="C126" s="211"/>
      <c r="E126" s="11"/>
      <c r="F126" s="11"/>
      <c r="G126" s="12"/>
      <c r="H126" s="12"/>
      <c r="I126" s="12"/>
      <c r="J126" s="12"/>
      <c r="K126" s="12"/>
      <c r="L126" s="12"/>
      <c r="M126" s="12"/>
      <c r="N126" s="12"/>
      <c r="O126" s="16"/>
      <c r="P126" s="12"/>
      <c r="Q126" s="16"/>
      <c r="R126" s="13"/>
      <c r="S126" s="13"/>
      <c r="T126" s="13"/>
      <c r="U126" s="13"/>
      <c r="V126" s="13"/>
      <c r="W126" s="13"/>
      <c r="X126" s="13"/>
      <c r="Y126" s="13"/>
      <c r="Z126" s="13"/>
      <c r="AA126" s="13"/>
      <c r="AB126" s="13"/>
      <c r="AC126" s="13"/>
      <c r="AD126" s="13"/>
      <c r="AE126" s="13"/>
      <c r="AF126" s="13"/>
      <c r="AG126" s="13"/>
    </row>
    <row r="127" spans="1:33" s="10" customFormat="1" x14ac:dyDescent="0.2">
      <c r="A127" s="1" t="s">
        <v>490</v>
      </c>
      <c r="E127" s="11"/>
      <c r="F127" s="11"/>
      <c r="G127" s="12"/>
      <c r="H127" s="12"/>
      <c r="I127" s="12"/>
      <c r="J127" s="12"/>
      <c r="K127" s="12"/>
      <c r="L127" s="12"/>
      <c r="M127" s="12"/>
      <c r="N127" s="12"/>
      <c r="O127" s="16"/>
      <c r="P127" s="12"/>
      <c r="Q127" s="16"/>
      <c r="R127" s="13"/>
      <c r="S127" s="13"/>
      <c r="T127" s="13"/>
      <c r="U127" s="13"/>
      <c r="V127" s="13"/>
      <c r="W127" s="13"/>
      <c r="X127" s="13"/>
      <c r="Y127" s="13"/>
      <c r="Z127" s="13"/>
      <c r="AA127" s="13"/>
      <c r="AB127" s="13"/>
      <c r="AC127" s="13"/>
      <c r="AD127" s="13"/>
      <c r="AE127" s="13"/>
      <c r="AF127" s="13"/>
      <c r="AG127" s="13"/>
    </row>
    <row r="128" spans="1:33" s="10" customFormat="1" x14ac:dyDescent="0.2">
      <c r="A128" s="22"/>
      <c r="E128" s="11"/>
      <c r="F128" s="11"/>
      <c r="G128" s="12"/>
      <c r="H128" s="12"/>
      <c r="I128" s="12"/>
      <c r="J128" s="12"/>
      <c r="K128" s="12"/>
      <c r="L128" s="12"/>
      <c r="M128" s="12"/>
      <c r="N128" s="12"/>
      <c r="O128" s="16"/>
      <c r="P128" s="12"/>
      <c r="Q128" s="16"/>
      <c r="R128" s="13"/>
      <c r="S128" s="13"/>
      <c r="T128" s="13"/>
      <c r="U128" s="13"/>
      <c r="V128" s="13"/>
      <c r="W128" s="13"/>
      <c r="X128" s="13"/>
      <c r="Y128" s="13"/>
      <c r="Z128" s="13"/>
      <c r="AA128" s="13"/>
      <c r="AB128" s="13"/>
      <c r="AC128" s="13"/>
      <c r="AD128" s="13"/>
      <c r="AE128" s="13"/>
      <c r="AF128" s="13"/>
      <c r="AG128" s="13"/>
    </row>
    <row r="129" spans="1:33" x14ac:dyDescent="0.2">
      <c r="A129" s="1"/>
      <c r="E129" s="11"/>
      <c r="K129" s="3"/>
      <c r="L129" s="3"/>
      <c r="M129" s="3"/>
      <c r="N129" s="3"/>
      <c r="O129" s="27"/>
      <c r="P129" s="3"/>
      <c r="Q129" s="27"/>
      <c r="R129" s="23"/>
      <c r="S129" s="23"/>
      <c r="T129" s="23"/>
      <c r="U129" s="23"/>
      <c r="V129" s="23"/>
      <c r="W129" s="23"/>
      <c r="X129" s="23"/>
      <c r="Y129" s="23"/>
      <c r="Z129" s="23"/>
      <c r="AA129" s="23"/>
      <c r="AB129" s="23"/>
      <c r="AC129" s="23"/>
      <c r="AD129" s="23"/>
      <c r="AE129" s="23"/>
      <c r="AF129" s="23"/>
      <c r="AG129" s="23"/>
    </row>
    <row r="130" spans="1:33" x14ac:dyDescent="0.2">
      <c r="A130" s="1" t="s">
        <v>489</v>
      </c>
      <c r="B130" s="13"/>
      <c r="E130" s="11"/>
      <c r="K130" s="3"/>
      <c r="L130" s="3"/>
      <c r="M130" s="3"/>
      <c r="N130" s="3"/>
      <c r="O130" s="27"/>
      <c r="P130" s="3"/>
      <c r="Q130" s="27"/>
      <c r="R130" s="23"/>
      <c r="S130" s="23"/>
      <c r="T130" s="23"/>
      <c r="U130" s="23"/>
      <c r="V130" s="23"/>
      <c r="W130" s="23"/>
      <c r="X130" s="23"/>
      <c r="Y130" s="23"/>
      <c r="Z130" s="23"/>
      <c r="AA130" s="23"/>
      <c r="AB130" s="23"/>
      <c r="AC130" s="23"/>
      <c r="AD130" s="23"/>
      <c r="AE130" s="23"/>
      <c r="AF130" s="23"/>
      <c r="AG130" s="23"/>
    </row>
    <row r="131" spans="1:33" x14ac:dyDescent="0.2">
      <c r="A131" s="10"/>
      <c r="B131" s="18" t="s">
        <v>444</v>
      </c>
      <c r="C131" s="10"/>
      <c r="E131" s="11"/>
      <c r="G131" s="30"/>
      <c r="H131" s="30"/>
      <c r="I131" s="30"/>
      <c r="J131" s="30"/>
      <c r="K131" s="30"/>
      <c r="L131" s="30"/>
      <c r="M131" s="30"/>
      <c r="N131" s="30"/>
      <c r="O131" s="194">
        <f>SUM(G131:N131)</f>
        <v>0</v>
      </c>
      <c r="P131" s="30"/>
      <c r="Q131" s="194">
        <f>SUM(O131:P131)</f>
        <v>0</v>
      </c>
      <c r="R131" s="23"/>
      <c r="S131" s="23"/>
      <c r="T131" s="23"/>
      <c r="U131" s="23"/>
      <c r="V131" s="23"/>
      <c r="W131" s="23"/>
      <c r="X131" s="23"/>
      <c r="Y131" s="23"/>
      <c r="Z131" s="23"/>
      <c r="AA131" s="23"/>
      <c r="AB131" s="23"/>
      <c r="AC131" s="23"/>
      <c r="AD131" s="23"/>
      <c r="AE131" s="23"/>
      <c r="AF131" s="23"/>
      <c r="AG131" s="23"/>
    </row>
    <row r="132" spans="1:33" x14ac:dyDescent="0.2">
      <c r="A132" s="10"/>
      <c r="B132" s="18" t="s">
        <v>399</v>
      </c>
      <c r="C132" s="10"/>
      <c r="E132" s="11"/>
      <c r="G132" s="30"/>
      <c r="H132" s="30"/>
      <c r="I132" s="30"/>
      <c r="J132" s="30"/>
      <c r="K132" s="30"/>
      <c r="L132" s="30"/>
      <c r="M132" s="30"/>
      <c r="N132" s="30"/>
      <c r="O132" s="194">
        <f>SUM(G132:N132)</f>
        <v>0</v>
      </c>
      <c r="P132" s="30"/>
      <c r="Q132" s="194">
        <f>SUM(O132:P132)</f>
        <v>0</v>
      </c>
      <c r="R132" s="23"/>
      <c r="S132" s="23"/>
      <c r="T132" s="23"/>
      <c r="U132" s="23"/>
      <c r="V132" s="23"/>
      <c r="W132" s="23"/>
      <c r="X132" s="23"/>
      <c r="Y132" s="23"/>
      <c r="Z132" s="23"/>
      <c r="AA132" s="23"/>
      <c r="AB132" s="23"/>
      <c r="AC132" s="23"/>
      <c r="AD132" s="23"/>
      <c r="AE132" s="23"/>
      <c r="AF132" s="23"/>
      <c r="AG132" s="23"/>
    </row>
    <row r="133" spans="1:33" x14ac:dyDescent="0.2">
      <c r="A133" s="10"/>
      <c r="B133" s="18" t="s">
        <v>400</v>
      </c>
      <c r="C133" s="10"/>
      <c r="E133" s="11"/>
      <c r="G133" s="30"/>
      <c r="H133" s="30"/>
      <c r="I133" s="30"/>
      <c r="J133" s="30"/>
      <c r="K133" s="30"/>
      <c r="L133" s="30"/>
      <c r="M133" s="30"/>
      <c r="N133" s="30"/>
      <c r="O133" s="194">
        <f>SUM(G133:N133)</f>
        <v>0</v>
      </c>
      <c r="P133" s="30"/>
      <c r="Q133" s="194">
        <f>SUM(O133:P133)</f>
        <v>0</v>
      </c>
      <c r="R133" s="23"/>
      <c r="S133" s="23"/>
      <c r="T133" s="23"/>
      <c r="U133" s="23"/>
      <c r="V133" s="23"/>
      <c r="W133" s="23"/>
      <c r="X133" s="23"/>
      <c r="Y133" s="23"/>
      <c r="Z133" s="23"/>
      <c r="AA133" s="23"/>
      <c r="AB133" s="23"/>
      <c r="AC133" s="23"/>
      <c r="AD133" s="23"/>
      <c r="AE133" s="23"/>
      <c r="AF133" s="23"/>
      <c r="AG133" s="23"/>
    </row>
    <row r="134" spans="1:33" x14ac:dyDescent="0.2">
      <c r="A134" s="10"/>
      <c r="B134" s="13"/>
      <c r="C134" s="10"/>
      <c r="E134" s="11"/>
      <c r="K134" s="3"/>
      <c r="L134" s="3"/>
      <c r="M134" s="3"/>
      <c r="N134" s="3"/>
      <c r="O134" s="27"/>
      <c r="P134" s="3"/>
      <c r="Q134" s="27"/>
      <c r="R134" s="23"/>
      <c r="S134" s="23"/>
      <c r="T134" s="23"/>
      <c r="U134" s="23"/>
      <c r="V134" s="23"/>
      <c r="W134" s="23"/>
      <c r="X134" s="23"/>
      <c r="Y134" s="23"/>
      <c r="Z134" s="23"/>
      <c r="AA134" s="23"/>
      <c r="AB134" s="23"/>
      <c r="AC134" s="23"/>
      <c r="AD134" s="23"/>
      <c r="AE134" s="23"/>
      <c r="AF134" s="23"/>
      <c r="AG134" s="23"/>
    </row>
    <row r="135" spans="1:33" x14ac:dyDescent="0.2">
      <c r="A135" s="1" t="s">
        <v>123</v>
      </c>
      <c r="B135" s="13"/>
      <c r="C135" s="10"/>
      <c r="E135" s="11"/>
      <c r="K135" s="3"/>
      <c r="L135" s="3"/>
      <c r="M135" s="3"/>
      <c r="N135" s="3"/>
      <c r="O135" s="27"/>
      <c r="P135" s="3"/>
      <c r="Q135" s="27"/>
      <c r="R135" s="23"/>
      <c r="S135" s="23"/>
      <c r="T135" s="23"/>
      <c r="U135" s="23"/>
      <c r="V135" s="23"/>
      <c r="W135" s="23"/>
      <c r="X135" s="23"/>
      <c r="Y135" s="23"/>
      <c r="Z135" s="23"/>
      <c r="AA135" s="23"/>
      <c r="AB135" s="23"/>
      <c r="AC135" s="23"/>
      <c r="AD135" s="23"/>
      <c r="AE135" s="23"/>
      <c r="AF135" s="23"/>
      <c r="AG135" s="23"/>
    </row>
    <row r="136" spans="1:33" x14ac:dyDescent="0.2">
      <c r="A136" s="18" t="s">
        <v>122</v>
      </c>
      <c r="B136" s="13"/>
      <c r="C136" s="10"/>
      <c r="E136" s="11"/>
      <c r="G136" s="30"/>
      <c r="H136" s="30"/>
      <c r="I136" s="30"/>
      <c r="J136" s="30"/>
      <c r="K136" s="30"/>
      <c r="L136" s="30"/>
      <c r="M136" s="30"/>
      <c r="N136" s="30"/>
      <c r="O136" s="194">
        <f>SUM(G136:N136)</f>
        <v>0</v>
      </c>
      <c r="P136" s="30"/>
      <c r="Q136" s="194">
        <f>SUM(O136:P136)</f>
        <v>0</v>
      </c>
      <c r="R136" s="23"/>
      <c r="S136" s="23"/>
      <c r="T136" s="23"/>
      <c r="U136" s="23"/>
      <c r="V136" s="23"/>
      <c r="W136" s="23"/>
      <c r="X136" s="23"/>
      <c r="Y136" s="23"/>
      <c r="Z136" s="23"/>
      <c r="AA136" s="23"/>
      <c r="AB136" s="23"/>
      <c r="AC136" s="23"/>
      <c r="AD136" s="23"/>
      <c r="AE136" s="23"/>
      <c r="AF136" s="23"/>
      <c r="AG136" s="23"/>
    </row>
    <row r="137" spans="1:33" x14ac:dyDescent="0.2">
      <c r="A137" s="18" t="s">
        <v>642</v>
      </c>
      <c r="B137" s="13"/>
      <c r="C137" s="10"/>
      <c r="E137" s="11"/>
      <c r="G137" s="30"/>
      <c r="H137" s="30"/>
      <c r="I137" s="30"/>
      <c r="J137" s="30"/>
      <c r="K137" s="30"/>
      <c r="L137" s="30"/>
      <c r="M137" s="30"/>
      <c r="N137" s="30"/>
      <c r="O137" s="194">
        <f>SUM(G137:N137)</f>
        <v>0</v>
      </c>
      <c r="P137" s="30"/>
      <c r="Q137" s="194">
        <f>SUM(O137:P137)</f>
        <v>0</v>
      </c>
      <c r="R137" s="23"/>
      <c r="S137" s="23"/>
      <c r="T137" s="23"/>
      <c r="U137" s="23"/>
      <c r="V137" s="23"/>
      <c r="W137" s="23"/>
      <c r="X137" s="23"/>
      <c r="Y137" s="23"/>
      <c r="Z137" s="23"/>
      <c r="AA137" s="23"/>
      <c r="AB137" s="23"/>
      <c r="AC137" s="23"/>
      <c r="AD137" s="23"/>
      <c r="AE137" s="23"/>
      <c r="AF137" s="23"/>
      <c r="AG137" s="23"/>
    </row>
    <row r="138" spans="1:33" x14ac:dyDescent="0.2">
      <c r="A138" s="1"/>
      <c r="B138" s="13"/>
      <c r="E138" s="11"/>
      <c r="K138" s="3"/>
      <c r="L138" s="3"/>
      <c r="M138" s="3"/>
      <c r="N138" s="3"/>
      <c r="O138" s="27"/>
      <c r="P138" s="3"/>
      <c r="Q138" s="27"/>
      <c r="R138" s="23"/>
      <c r="S138" s="23"/>
      <c r="T138" s="23"/>
      <c r="U138" s="23"/>
      <c r="V138" s="23"/>
      <c r="W138" s="23"/>
      <c r="X138" s="23"/>
      <c r="Y138" s="23"/>
      <c r="Z138" s="23"/>
      <c r="AA138" s="23"/>
      <c r="AB138" s="23"/>
      <c r="AC138" s="23"/>
      <c r="AD138" s="23"/>
      <c r="AE138" s="23"/>
      <c r="AF138" s="23"/>
      <c r="AG138" s="23"/>
    </row>
    <row r="139" spans="1:33" x14ac:dyDescent="0.2">
      <c r="A139" s="1" t="s">
        <v>474</v>
      </c>
      <c r="B139" s="25"/>
      <c r="E139" s="11"/>
      <c r="G139" s="26">
        <f>SUM(G131:G133)-G136-G137</f>
        <v>0</v>
      </c>
      <c r="H139" s="26">
        <f t="shared" ref="H139:Q139" si="19">SUM(H131:H133)-H136-H137</f>
        <v>0</v>
      </c>
      <c r="I139" s="26">
        <f t="shared" si="19"/>
        <v>0</v>
      </c>
      <c r="J139" s="26">
        <f t="shared" si="19"/>
        <v>0</v>
      </c>
      <c r="K139" s="26">
        <f t="shared" si="19"/>
        <v>0</v>
      </c>
      <c r="L139" s="26">
        <f t="shared" si="19"/>
        <v>0</v>
      </c>
      <c r="M139" s="26">
        <f t="shared" si="19"/>
        <v>0</v>
      </c>
      <c r="N139" s="26">
        <f t="shared" si="19"/>
        <v>0</v>
      </c>
      <c r="O139" s="26">
        <f t="shared" si="19"/>
        <v>0</v>
      </c>
      <c r="P139" s="26">
        <f t="shared" si="19"/>
        <v>0</v>
      </c>
      <c r="Q139" s="26">
        <f t="shared" si="19"/>
        <v>0</v>
      </c>
      <c r="R139" s="23"/>
      <c r="S139" s="23"/>
      <c r="T139" s="23"/>
      <c r="U139" s="23"/>
      <c r="V139" s="23"/>
      <c r="W139" s="23"/>
      <c r="X139" s="23"/>
      <c r="Y139" s="23"/>
      <c r="Z139" s="23"/>
      <c r="AA139" s="23"/>
      <c r="AB139" s="23"/>
      <c r="AC139" s="23"/>
      <c r="AD139" s="23"/>
      <c r="AE139" s="23"/>
      <c r="AF139" s="23"/>
      <c r="AG139" s="23"/>
    </row>
    <row r="140" spans="1:33" x14ac:dyDescent="0.2">
      <c r="A140" s="10"/>
      <c r="B140" s="25"/>
      <c r="E140" s="11"/>
      <c r="K140" s="3"/>
      <c r="L140" s="3"/>
      <c r="M140" s="3"/>
      <c r="N140" s="3"/>
      <c r="O140" s="27"/>
      <c r="P140" s="3"/>
      <c r="Q140" s="27"/>
      <c r="R140" s="23"/>
      <c r="S140" s="23"/>
      <c r="T140" s="23"/>
      <c r="U140" s="23"/>
      <c r="V140" s="23"/>
      <c r="W140" s="23"/>
      <c r="X140" s="23"/>
      <c r="Y140" s="23"/>
      <c r="Z140" s="23"/>
      <c r="AA140" s="23"/>
      <c r="AB140" s="23"/>
      <c r="AC140" s="23"/>
      <c r="AD140" s="23"/>
      <c r="AE140" s="23"/>
      <c r="AF140" s="23"/>
      <c r="AG140" s="23"/>
    </row>
    <row r="141" spans="1:33" x14ac:dyDescent="0.2">
      <c r="A141" s="10"/>
      <c r="B141" s="25"/>
      <c r="E141" s="11"/>
      <c r="K141" s="3"/>
      <c r="L141" s="3"/>
      <c r="M141" s="3"/>
      <c r="N141" s="3"/>
      <c r="O141" s="27"/>
      <c r="P141" s="3"/>
      <c r="Q141" s="27"/>
      <c r="R141" s="23"/>
      <c r="S141" s="23"/>
      <c r="T141" s="23"/>
      <c r="U141" s="23"/>
      <c r="V141" s="23"/>
      <c r="W141" s="23"/>
      <c r="X141" s="23"/>
      <c r="Y141" s="23"/>
      <c r="Z141" s="23"/>
      <c r="AA141" s="23"/>
      <c r="AB141" s="23"/>
      <c r="AC141" s="23"/>
      <c r="AD141" s="23"/>
      <c r="AE141" s="23"/>
      <c r="AF141" s="23"/>
      <c r="AG141" s="23"/>
    </row>
    <row r="142" spans="1:33" x14ac:dyDescent="0.2">
      <c r="A142" s="1" t="s">
        <v>465</v>
      </c>
      <c r="B142" s="10"/>
      <c r="E142" s="11"/>
      <c r="K142" s="3"/>
      <c r="L142" s="3"/>
      <c r="M142" s="3"/>
      <c r="N142" s="3"/>
      <c r="O142" s="27"/>
      <c r="P142" s="3"/>
      <c r="Q142" s="27"/>
      <c r="R142" s="23"/>
      <c r="S142" s="23"/>
      <c r="T142" s="23"/>
      <c r="U142" s="23"/>
      <c r="V142" s="23"/>
      <c r="W142" s="23"/>
      <c r="X142" s="23"/>
      <c r="Y142" s="23"/>
      <c r="Z142" s="23"/>
      <c r="AA142" s="23"/>
      <c r="AB142" s="23"/>
      <c r="AC142" s="23"/>
      <c r="AD142" s="23"/>
      <c r="AE142" s="23"/>
      <c r="AF142" s="23"/>
      <c r="AG142" s="23"/>
    </row>
    <row r="143" spans="1:33" x14ac:dyDescent="0.2">
      <c r="A143" s="24" t="s">
        <v>464</v>
      </c>
      <c r="B143" s="13"/>
      <c r="E143" s="401"/>
      <c r="G143" s="30"/>
      <c r="H143" s="30"/>
      <c r="I143" s="30"/>
      <c r="J143" s="30"/>
      <c r="K143" s="30"/>
      <c r="L143" s="30"/>
      <c r="M143" s="30"/>
      <c r="N143" s="30"/>
      <c r="O143" s="194">
        <f t="shared" ref="O143:O159" si="20">SUM(G143:N143)</f>
        <v>0</v>
      </c>
      <c r="P143" s="30"/>
      <c r="Q143" s="194">
        <f t="shared" ref="Q143:Q147" si="21">SUM(O143:P143)</f>
        <v>0</v>
      </c>
      <c r="R143" s="23"/>
      <c r="S143" s="23"/>
      <c r="T143" s="23"/>
      <c r="U143" s="23"/>
      <c r="V143" s="23"/>
      <c r="W143" s="23"/>
      <c r="X143" s="23"/>
      <c r="Y143" s="23"/>
      <c r="Z143" s="23"/>
      <c r="AA143" s="23"/>
      <c r="AB143" s="23"/>
      <c r="AC143" s="23"/>
      <c r="AD143" s="23"/>
      <c r="AE143" s="23"/>
      <c r="AF143" s="23"/>
      <c r="AG143" s="23"/>
    </row>
    <row r="144" spans="1:33" x14ac:dyDescent="0.2">
      <c r="A144" s="24" t="s">
        <v>463</v>
      </c>
      <c r="B144" s="18"/>
      <c r="E144" s="11"/>
      <c r="G144" s="30"/>
      <c r="H144" s="30"/>
      <c r="I144" s="30"/>
      <c r="J144" s="30"/>
      <c r="K144" s="30"/>
      <c r="L144" s="30"/>
      <c r="M144" s="30"/>
      <c r="N144" s="30"/>
      <c r="O144" s="194">
        <f t="shared" si="20"/>
        <v>0</v>
      </c>
      <c r="P144" s="30"/>
      <c r="Q144" s="194">
        <f t="shared" si="21"/>
        <v>0</v>
      </c>
      <c r="R144" s="23"/>
      <c r="S144" s="23"/>
      <c r="T144" s="23"/>
      <c r="U144" s="23"/>
      <c r="V144" s="23"/>
      <c r="W144" s="23"/>
      <c r="X144" s="23"/>
      <c r="Y144" s="23"/>
      <c r="Z144" s="23"/>
      <c r="AA144" s="23"/>
      <c r="AB144" s="23"/>
      <c r="AC144" s="23"/>
      <c r="AD144" s="23"/>
      <c r="AE144" s="23"/>
      <c r="AF144" s="23"/>
      <c r="AG144" s="23"/>
    </row>
    <row r="145" spans="1:33" x14ac:dyDescent="0.2">
      <c r="A145" s="24" t="s">
        <v>102</v>
      </c>
      <c r="B145" s="18"/>
      <c r="E145" s="11"/>
      <c r="G145" s="30"/>
      <c r="H145" s="30"/>
      <c r="I145" s="30"/>
      <c r="J145" s="30"/>
      <c r="K145" s="30"/>
      <c r="L145" s="30"/>
      <c r="M145" s="30"/>
      <c r="N145" s="30"/>
      <c r="O145" s="194">
        <f t="shared" si="20"/>
        <v>0</v>
      </c>
      <c r="P145" s="30"/>
      <c r="Q145" s="194">
        <f t="shared" si="21"/>
        <v>0</v>
      </c>
      <c r="R145" s="23"/>
      <c r="S145" s="23"/>
      <c r="T145" s="23"/>
      <c r="U145" s="23"/>
      <c r="V145" s="23"/>
      <c r="W145" s="23"/>
      <c r="X145" s="23"/>
      <c r="Y145" s="23"/>
      <c r="Z145" s="23"/>
      <c r="AA145" s="23"/>
      <c r="AB145" s="23"/>
      <c r="AC145" s="23"/>
      <c r="AD145" s="23"/>
      <c r="AE145" s="23"/>
      <c r="AF145" s="23"/>
      <c r="AG145" s="23"/>
    </row>
    <row r="146" spans="1:33" x14ac:dyDescent="0.2">
      <c r="A146" s="24" t="s">
        <v>641</v>
      </c>
      <c r="B146" s="18"/>
      <c r="E146" s="11"/>
      <c r="G146" s="30"/>
      <c r="H146" s="30"/>
      <c r="I146" s="30"/>
      <c r="J146" s="30"/>
      <c r="K146" s="30"/>
      <c r="L146" s="30"/>
      <c r="M146" s="30"/>
      <c r="N146" s="30"/>
      <c r="O146" s="194">
        <f t="shared" si="20"/>
        <v>0</v>
      </c>
      <c r="P146" s="30"/>
      <c r="Q146" s="194">
        <f t="shared" si="21"/>
        <v>0</v>
      </c>
      <c r="R146" s="23"/>
      <c r="S146" s="23"/>
      <c r="T146" s="23"/>
      <c r="U146" s="23"/>
      <c r="V146" s="23"/>
      <c r="W146" s="23"/>
      <c r="X146" s="23"/>
      <c r="Y146" s="23"/>
      <c r="Z146" s="23"/>
      <c r="AA146" s="23"/>
      <c r="AB146" s="23"/>
      <c r="AC146" s="23"/>
      <c r="AD146" s="23"/>
      <c r="AE146" s="23"/>
      <c r="AF146" s="23"/>
      <c r="AG146" s="23"/>
    </row>
    <row r="147" spans="1:33" x14ac:dyDescent="0.2">
      <c r="A147" s="24" t="s">
        <v>1373</v>
      </c>
      <c r="B147" s="18"/>
      <c r="E147" s="401"/>
      <c r="G147" s="30"/>
      <c r="H147" s="30"/>
      <c r="I147" s="30"/>
      <c r="J147" s="30"/>
      <c r="K147" s="30"/>
      <c r="L147" s="30"/>
      <c r="M147" s="30"/>
      <c r="N147" s="30"/>
      <c r="O147" s="194">
        <f t="shared" si="20"/>
        <v>0</v>
      </c>
      <c r="P147" s="30"/>
      <c r="Q147" s="194">
        <f t="shared" si="21"/>
        <v>0</v>
      </c>
      <c r="R147" s="23"/>
      <c r="S147" s="23"/>
      <c r="T147" s="23"/>
      <c r="U147" s="23"/>
      <c r="V147" s="23"/>
      <c r="W147" s="23"/>
      <c r="X147" s="23"/>
      <c r="Y147" s="23"/>
      <c r="Z147" s="23"/>
      <c r="AA147" s="23"/>
      <c r="AB147" s="23"/>
      <c r="AC147" s="23"/>
      <c r="AD147" s="23"/>
      <c r="AE147" s="23"/>
      <c r="AF147" s="23"/>
      <c r="AG147" s="23"/>
    </row>
    <row r="148" spans="1:33" x14ac:dyDescent="0.2">
      <c r="A148" s="24" t="s">
        <v>12</v>
      </c>
      <c r="B148" s="18"/>
      <c r="E148" s="11"/>
      <c r="F148" s="11"/>
      <c r="G148" s="11"/>
      <c r="H148" s="11"/>
      <c r="I148" s="11"/>
      <c r="J148" s="11"/>
      <c r="K148" s="11"/>
      <c r="L148" s="11"/>
      <c r="M148" s="11"/>
      <c r="N148" s="11"/>
      <c r="O148" s="11"/>
      <c r="P148" s="11"/>
      <c r="Q148" s="11"/>
      <c r="R148" s="23"/>
      <c r="S148" s="23"/>
      <c r="T148" s="23"/>
      <c r="U148" s="23"/>
      <c r="V148" s="23"/>
      <c r="W148" s="23"/>
      <c r="X148" s="23"/>
      <c r="Y148" s="23"/>
      <c r="Z148" s="23"/>
      <c r="AA148" s="23"/>
      <c r="AB148" s="23"/>
      <c r="AC148" s="23"/>
      <c r="AD148" s="23"/>
      <c r="AE148" s="23"/>
      <c r="AF148" s="23"/>
      <c r="AG148" s="23"/>
    </row>
    <row r="149" spans="1:33" x14ac:dyDescent="0.2">
      <c r="A149" s="13"/>
      <c r="B149" s="18"/>
      <c r="E149" s="11"/>
      <c r="G149" s="196"/>
      <c r="H149" s="196"/>
      <c r="I149" s="196"/>
      <c r="J149" s="196"/>
      <c r="K149" s="196"/>
      <c r="L149" s="196"/>
      <c r="M149" s="196"/>
      <c r="N149" s="196"/>
      <c r="O149" s="196"/>
      <c r="P149" s="196"/>
      <c r="Q149" s="196"/>
      <c r="R149" s="23"/>
      <c r="S149" s="23"/>
      <c r="T149" s="23"/>
      <c r="U149" s="23"/>
      <c r="V149" s="23"/>
      <c r="W149" s="23"/>
      <c r="X149" s="23"/>
      <c r="Y149" s="23"/>
      <c r="Z149" s="23"/>
      <c r="AA149" s="23"/>
      <c r="AB149" s="23"/>
      <c r="AC149" s="23"/>
      <c r="AD149" s="23"/>
      <c r="AE149" s="23"/>
      <c r="AF149" s="23"/>
      <c r="AG149" s="23"/>
    </row>
    <row r="150" spans="1:33" x14ac:dyDescent="0.2">
      <c r="A150" s="13" t="s">
        <v>124</v>
      </c>
      <c r="B150" s="18"/>
      <c r="E150" s="11"/>
      <c r="G150" s="30"/>
      <c r="H150" s="30"/>
      <c r="I150" s="30"/>
      <c r="J150" s="30"/>
      <c r="K150" s="30"/>
      <c r="L150" s="30"/>
      <c r="M150" s="30"/>
      <c r="N150" s="30"/>
      <c r="O150" s="194">
        <f t="shared" si="20"/>
        <v>0</v>
      </c>
      <c r="P150" s="30"/>
      <c r="Q150" s="194">
        <f>SUM(O150:P150)</f>
        <v>0</v>
      </c>
      <c r="R150" s="23"/>
      <c r="S150" s="23"/>
      <c r="T150" s="23"/>
      <c r="U150" s="23"/>
      <c r="V150" s="23"/>
      <c r="W150" s="23"/>
      <c r="X150" s="23"/>
      <c r="Y150" s="23"/>
      <c r="Z150" s="23"/>
      <c r="AA150" s="23"/>
      <c r="AB150" s="23"/>
      <c r="AC150" s="23"/>
      <c r="AD150" s="23"/>
      <c r="AE150" s="23"/>
      <c r="AF150" s="23"/>
      <c r="AG150" s="23"/>
    </row>
    <row r="151" spans="1:33" x14ac:dyDescent="0.2">
      <c r="A151" s="13" t="s">
        <v>125</v>
      </c>
      <c r="B151" s="18"/>
      <c r="E151" s="11"/>
      <c r="G151" s="30"/>
      <c r="H151" s="30"/>
      <c r="I151" s="30"/>
      <c r="J151" s="30"/>
      <c r="K151" s="30"/>
      <c r="L151" s="30"/>
      <c r="M151" s="30"/>
      <c r="N151" s="30"/>
      <c r="O151" s="194">
        <f t="shared" si="20"/>
        <v>0</v>
      </c>
      <c r="P151" s="30"/>
      <c r="Q151" s="194">
        <f>SUM(O151:P151)</f>
        <v>0</v>
      </c>
      <c r="R151" s="23"/>
      <c r="S151" s="23"/>
      <c r="T151" s="23"/>
      <c r="U151" s="23"/>
      <c r="V151" s="23"/>
      <c r="W151" s="23"/>
      <c r="X151" s="23"/>
      <c r="Y151" s="23"/>
      <c r="Z151" s="23"/>
      <c r="AA151" s="23"/>
      <c r="AB151" s="23"/>
      <c r="AC151" s="23"/>
      <c r="AD151" s="23"/>
      <c r="AE151" s="23"/>
      <c r="AF151" s="23"/>
      <c r="AG151" s="23"/>
    </row>
    <row r="152" spans="1:33" x14ac:dyDescent="0.2">
      <c r="A152" s="13" t="s">
        <v>126</v>
      </c>
      <c r="B152" s="18"/>
      <c r="E152" s="11"/>
      <c r="G152" s="30"/>
      <c r="H152" s="30"/>
      <c r="I152" s="30"/>
      <c r="J152" s="30"/>
      <c r="K152" s="30"/>
      <c r="L152" s="30"/>
      <c r="M152" s="30"/>
      <c r="N152" s="30"/>
      <c r="O152" s="194">
        <f>SUM(G152:N152)</f>
        <v>0</v>
      </c>
      <c r="P152" s="30"/>
      <c r="Q152" s="194">
        <f>SUM(O152:P152)</f>
        <v>0</v>
      </c>
      <c r="R152" s="23"/>
      <c r="S152" s="23"/>
      <c r="T152" s="23"/>
      <c r="U152" s="23"/>
      <c r="V152" s="23"/>
      <c r="W152" s="23"/>
      <c r="X152" s="23"/>
      <c r="Y152" s="23"/>
      <c r="Z152" s="23"/>
      <c r="AA152" s="23"/>
      <c r="AB152" s="23"/>
      <c r="AC152" s="23"/>
      <c r="AD152" s="23"/>
      <c r="AE152" s="23"/>
      <c r="AF152" s="23"/>
      <c r="AG152" s="23"/>
    </row>
    <row r="153" spans="1:33" x14ac:dyDescent="0.2">
      <c r="A153" s="13" t="s">
        <v>127</v>
      </c>
      <c r="B153" s="18"/>
      <c r="E153" s="11"/>
      <c r="G153" s="30"/>
      <c r="H153" s="30"/>
      <c r="I153" s="30"/>
      <c r="J153" s="30"/>
      <c r="K153" s="30"/>
      <c r="L153" s="30"/>
      <c r="M153" s="30"/>
      <c r="N153" s="30"/>
      <c r="O153" s="194">
        <f t="shared" si="20"/>
        <v>0</v>
      </c>
      <c r="P153" s="30"/>
      <c r="Q153" s="194">
        <f>SUM(O153:P153)</f>
        <v>0</v>
      </c>
      <c r="R153" s="23"/>
      <c r="S153" s="23"/>
      <c r="T153" s="23"/>
      <c r="U153" s="23"/>
      <c r="V153" s="23"/>
      <c r="W153" s="23"/>
      <c r="X153" s="23"/>
      <c r="Y153" s="23"/>
      <c r="Z153" s="23"/>
      <c r="AA153" s="23"/>
      <c r="AB153" s="23"/>
      <c r="AC153" s="23"/>
      <c r="AD153" s="23"/>
      <c r="AE153" s="23"/>
      <c r="AF153" s="23"/>
      <c r="AG153" s="23"/>
    </row>
    <row r="154" spans="1:33" x14ac:dyDescent="0.2">
      <c r="A154" s="13"/>
      <c r="B154" s="18"/>
      <c r="E154" s="11"/>
      <c r="G154" s="196"/>
      <c r="H154" s="196"/>
      <c r="I154" s="196"/>
      <c r="J154" s="196"/>
      <c r="K154" s="196"/>
      <c r="L154" s="196"/>
      <c r="M154" s="196"/>
      <c r="N154" s="196"/>
      <c r="O154" s="196"/>
      <c r="P154" s="196"/>
      <c r="Q154" s="196"/>
      <c r="R154" s="23"/>
      <c r="S154" s="23"/>
      <c r="T154" s="23"/>
      <c r="U154" s="23"/>
      <c r="V154" s="23"/>
      <c r="W154" s="23"/>
      <c r="X154" s="23"/>
      <c r="Y154" s="23"/>
      <c r="Z154" s="23"/>
      <c r="AA154" s="23"/>
      <c r="AB154" s="23"/>
      <c r="AC154" s="23"/>
      <c r="AD154" s="23"/>
      <c r="AE154" s="23"/>
      <c r="AF154" s="23"/>
      <c r="AG154" s="23"/>
    </row>
    <row r="155" spans="1:33" hidden="1" x14ac:dyDescent="0.2">
      <c r="A155" s="13" t="s">
        <v>67</v>
      </c>
      <c r="B155" s="18"/>
      <c r="E155" s="2" t="s">
        <v>1281</v>
      </c>
      <c r="G155" s="197"/>
      <c r="H155" s="197"/>
      <c r="I155" s="197"/>
      <c r="J155" s="197"/>
      <c r="K155" s="197"/>
      <c r="L155" s="197"/>
      <c r="M155" s="197"/>
      <c r="N155" s="197"/>
      <c r="O155" s="194">
        <f t="shared" si="20"/>
        <v>0</v>
      </c>
      <c r="P155" s="197"/>
      <c r="Q155" s="194">
        <f>SUM(O155:P155)</f>
        <v>0</v>
      </c>
      <c r="R155" s="23"/>
      <c r="S155" s="23"/>
      <c r="T155" s="23"/>
      <c r="U155" s="23"/>
      <c r="V155" s="23"/>
      <c r="W155" s="23"/>
      <c r="X155" s="23"/>
      <c r="Y155" s="23"/>
      <c r="Z155" s="23"/>
      <c r="AA155" s="23"/>
      <c r="AB155" s="23"/>
      <c r="AC155" s="23"/>
      <c r="AD155" s="23"/>
      <c r="AE155" s="23"/>
      <c r="AF155" s="23"/>
      <c r="AG155" s="23"/>
    </row>
    <row r="156" spans="1:33" hidden="1" x14ac:dyDescent="0.2">
      <c r="A156" s="13" t="s">
        <v>743</v>
      </c>
      <c r="B156" s="18"/>
      <c r="E156" s="2" t="s">
        <v>1281</v>
      </c>
      <c r="G156" s="197"/>
      <c r="H156" s="197"/>
      <c r="I156" s="197"/>
      <c r="J156" s="197"/>
      <c r="K156" s="197"/>
      <c r="L156" s="197"/>
      <c r="M156" s="197"/>
      <c r="N156" s="197"/>
      <c r="O156" s="194">
        <f t="shared" si="20"/>
        <v>0</v>
      </c>
      <c r="P156" s="197"/>
      <c r="Q156" s="194">
        <f>SUM(O156:P156)</f>
        <v>0</v>
      </c>
      <c r="R156" s="23"/>
      <c r="S156" s="23"/>
      <c r="T156" s="23"/>
      <c r="U156" s="23"/>
      <c r="V156" s="23"/>
      <c r="W156" s="23"/>
      <c r="X156" s="23"/>
      <c r="Y156" s="23"/>
      <c r="Z156" s="23"/>
      <c r="AA156" s="23"/>
      <c r="AB156" s="23"/>
      <c r="AC156" s="23"/>
      <c r="AD156" s="23"/>
      <c r="AE156" s="23"/>
      <c r="AF156" s="23"/>
      <c r="AG156" s="23"/>
    </row>
    <row r="157" spans="1:33" ht="61.5" hidden="1" customHeight="1" x14ac:dyDescent="0.2">
      <c r="A157" s="1201" t="s">
        <v>1283</v>
      </c>
      <c r="B157" s="1202"/>
      <c r="C157" s="1202"/>
      <c r="D157" s="1202"/>
      <c r="E157" s="1203"/>
      <c r="G157" s="196"/>
      <c r="H157" s="196"/>
      <c r="I157" s="196"/>
      <c r="J157" s="196"/>
      <c r="K157" s="196"/>
      <c r="L157" s="196"/>
      <c r="M157" s="196"/>
      <c r="N157" s="196"/>
      <c r="O157" s="196"/>
      <c r="P157" s="196"/>
      <c r="Q157" s="196"/>
      <c r="R157" s="23"/>
      <c r="S157" s="23"/>
      <c r="T157" s="23"/>
      <c r="U157" s="23"/>
      <c r="V157" s="23"/>
      <c r="W157" s="23"/>
      <c r="X157" s="23"/>
      <c r="Y157" s="23"/>
      <c r="Z157" s="23"/>
      <c r="AA157" s="23"/>
      <c r="AB157" s="23"/>
      <c r="AC157" s="23"/>
      <c r="AD157" s="23"/>
      <c r="AE157" s="23"/>
      <c r="AF157" s="23"/>
      <c r="AG157" s="23"/>
    </row>
    <row r="158" spans="1:33" x14ac:dyDescent="0.2">
      <c r="A158" s="24" t="s">
        <v>460</v>
      </c>
      <c r="B158" s="18"/>
      <c r="E158" s="680" t="str">
        <f>IF(O158&lt;&gt;0,"Answer Required","N/A")</f>
        <v>N/A</v>
      </c>
      <c r="G158" s="30"/>
      <c r="H158" s="30"/>
      <c r="I158" s="30"/>
      <c r="J158" s="30"/>
      <c r="K158" s="30"/>
      <c r="L158" s="30"/>
      <c r="M158" s="30"/>
      <c r="N158" s="30"/>
      <c r="O158" s="194">
        <f t="shared" si="20"/>
        <v>0</v>
      </c>
      <c r="P158" s="30"/>
      <c r="Q158" s="194">
        <f>SUM(O158:P158)</f>
        <v>0</v>
      </c>
      <c r="R158" s="23"/>
      <c r="S158" s="23"/>
      <c r="T158" s="23"/>
      <c r="U158" s="23"/>
      <c r="V158" s="23"/>
      <c r="W158" s="23"/>
      <c r="X158" s="23"/>
      <c r="Y158" s="23"/>
      <c r="Z158" s="23"/>
      <c r="AA158" s="23"/>
      <c r="AB158" s="23"/>
      <c r="AC158" s="23"/>
      <c r="AD158" s="23"/>
      <c r="AE158" s="23"/>
      <c r="AF158" s="23"/>
      <c r="AG158" s="23"/>
    </row>
    <row r="159" spans="1:33" x14ac:dyDescent="0.2">
      <c r="A159" s="24" t="s">
        <v>459</v>
      </c>
      <c r="B159" s="18"/>
      <c r="E159" s="680" t="str">
        <f>IF(O159&lt;&gt;0,"Answer Required","N/A")</f>
        <v>N/A</v>
      </c>
      <c r="G159" s="30"/>
      <c r="H159" s="30"/>
      <c r="I159" s="30"/>
      <c r="J159" s="30"/>
      <c r="K159" s="30"/>
      <c r="L159" s="30"/>
      <c r="M159" s="30"/>
      <c r="N159" s="30"/>
      <c r="O159" s="194">
        <f t="shared" si="20"/>
        <v>0</v>
      </c>
      <c r="P159" s="30"/>
      <c r="Q159" s="194">
        <f>SUM(O159:P159)</f>
        <v>0</v>
      </c>
      <c r="R159" s="23"/>
      <c r="S159" s="23"/>
      <c r="T159" s="23"/>
      <c r="U159" s="23"/>
      <c r="V159" s="23"/>
      <c r="W159" s="23"/>
      <c r="X159" s="23"/>
      <c r="Y159" s="23"/>
      <c r="Z159" s="23"/>
      <c r="AA159" s="23"/>
      <c r="AB159" s="23"/>
      <c r="AC159" s="23"/>
      <c r="AD159" s="23"/>
      <c r="AE159" s="23"/>
      <c r="AF159" s="23"/>
      <c r="AG159" s="23"/>
    </row>
    <row r="160" spans="1:33" x14ac:dyDescent="0.2">
      <c r="A160" s="13" t="s">
        <v>632</v>
      </c>
      <c r="B160" s="13"/>
      <c r="E160" s="11"/>
      <c r="G160" s="26">
        <f>SUM(G143:G159)</f>
        <v>0</v>
      </c>
      <c r="H160" s="26">
        <f t="shared" ref="H160:Q160" si="22">SUM(H143:H159)</f>
        <v>0</v>
      </c>
      <c r="I160" s="26">
        <f t="shared" si="22"/>
        <v>0</v>
      </c>
      <c r="J160" s="26">
        <f t="shared" si="22"/>
        <v>0</v>
      </c>
      <c r="K160" s="26">
        <f t="shared" si="22"/>
        <v>0</v>
      </c>
      <c r="L160" s="26">
        <f t="shared" si="22"/>
        <v>0</v>
      </c>
      <c r="M160" s="26">
        <f t="shared" si="22"/>
        <v>0</v>
      </c>
      <c r="N160" s="26">
        <f t="shared" si="22"/>
        <v>0</v>
      </c>
      <c r="O160" s="26">
        <f t="shared" si="22"/>
        <v>0</v>
      </c>
      <c r="P160" s="26">
        <f t="shared" si="22"/>
        <v>0</v>
      </c>
      <c r="Q160" s="26">
        <f t="shared" si="22"/>
        <v>0</v>
      </c>
      <c r="R160" s="23"/>
      <c r="S160" s="23"/>
      <c r="T160" s="23"/>
      <c r="U160" s="23"/>
      <c r="V160" s="23"/>
      <c r="W160" s="23"/>
      <c r="X160" s="23"/>
      <c r="Y160" s="23"/>
      <c r="Z160" s="23"/>
      <c r="AA160" s="23"/>
      <c r="AB160" s="23"/>
      <c r="AC160" s="23"/>
      <c r="AD160" s="23"/>
      <c r="AE160" s="23"/>
      <c r="AF160" s="23"/>
      <c r="AG160" s="23"/>
    </row>
    <row r="161" spans="1:33" x14ac:dyDescent="0.2">
      <c r="A161" s="24" t="s">
        <v>863</v>
      </c>
      <c r="B161" s="13"/>
      <c r="E161" s="11"/>
      <c r="G161" s="26">
        <f>SUM(G139,G160)</f>
        <v>0</v>
      </c>
      <c r="H161" s="26">
        <f t="shared" ref="H161:P161" si="23">SUM(H139,H160)</f>
        <v>0</v>
      </c>
      <c r="I161" s="26">
        <f t="shared" si="23"/>
        <v>0</v>
      </c>
      <c r="J161" s="26">
        <f t="shared" si="23"/>
        <v>0</v>
      </c>
      <c r="K161" s="26">
        <f t="shared" si="23"/>
        <v>0</v>
      </c>
      <c r="L161" s="26">
        <f t="shared" si="23"/>
        <v>0</v>
      </c>
      <c r="M161" s="26">
        <f t="shared" si="23"/>
        <v>0</v>
      </c>
      <c r="N161" s="26">
        <f t="shared" si="23"/>
        <v>0</v>
      </c>
      <c r="O161" s="26">
        <f t="shared" si="23"/>
        <v>0</v>
      </c>
      <c r="P161" s="26">
        <f t="shared" si="23"/>
        <v>0</v>
      </c>
      <c r="Q161" s="26">
        <f>SUM(Q139,Q160)</f>
        <v>0</v>
      </c>
      <c r="R161" s="23"/>
      <c r="S161" s="23"/>
      <c r="T161" s="23"/>
      <c r="U161" s="23"/>
      <c r="V161" s="23"/>
      <c r="W161" s="23"/>
      <c r="X161" s="23"/>
      <c r="Y161" s="23"/>
      <c r="Z161" s="23"/>
      <c r="AA161" s="23"/>
      <c r="AB161" s="23"/>
      <c r="AC161" s="23"/>
      <c r="AD161" s="23"/>
      <c r="AE161" s="23"/>
      <c r="AF161" s="23"/>
      <c r="AG161" s="23"/>
    </row>
    <row r="162" spans="1:33" x14ac:dyDescent="0.2">
      <c r="A162" s="24" t="s">
        <v>858</v>
      </c>
      <c r="B162" s="10"/>
      <c r="E162" s="11"/>
      <c r="G162" s="30"/>
      <c r="H162" s="30"/>
      <c r="I162" s="30"/>
      <c r="J162" s="30"/>
      <c r="K162" s="30"/>
      <c r="L162" s="30"/>
      <c r="M162" s="30"/>
      <c r="N162" s="30"/>
      <c r="O162" s="194">
        <f>SUM(G162:N162)</f>
        <v>0</v>
      </c>
      <c r="P162" s="30"/>
      <c r="Q162" s="194">
        <f>SUM(O162:P162)</f>
        <v>0</v>
      </c>
      <c r="R162" s="23"/>
      <c r="S162" s="23"/>
      <c r="T162" s="23"/>
      <c r="U162" s="23"/>
      <c r="V162" s="23"/>
      <c r="W162" s="23"/>
      <c r="X162" s="23"/>
      <c r="Y162" s="23"/>
      <c r="Z162" s="23"/>
      <c r="AA162" s="23"/>
      <c r="AB162" s="23"/>
      <c r="AC162" s="23"/>
      <c r="AD162" s="23"/>
      <c r="AE162" s="23"/>
      <c r="AF162" s="23"/>
      <c r="AG162" s="23"/>
    </row>
    <row r="163" spans="1:33" ht="12.75" thickBot="1" x14ac:dyDescent="0.25">
      <c r="A163" s="24" t="s">
        <v>859</v>
      </c>
      <c r="B163" s="10"/>
      <c r="E163" s="11"/>
      <c r="G163" s="28">
        <f>IF(SUM(G161:G162)=G117,SUM(G161,G162),"ERROR")</f>
        <v>0</v>
      </c>
      <c r="H163" s="28">
        <f t="shared" ref="H163:P163" si="24">IF(SUM(H161:H162)=H117,SUM(H161,H162),"ERROR")</f>
        <v>0</v>
      </c>
      <c r="I163" s="28">
        <f t="shared" si="24"/>
        <v>0</v>
      </c>
      <c r="J163" s="28">
        <f t="shared" si="24"/>
        <v>0</v>
      </c>
      <c r="K163" s="28">
        <f t="shared" si="24"/>
        <v>0</v>
      </c>
      <c r="L163" s="28">
        <f t="shared" si="24"/>
        <v>0</v>
      </c>
      <c r="M163" s="28">
        <f t="shared" si="24"/>
        <v>0</v>
      </c>
      <c r="N163" s="28">
        <f t="shared" si="24"/>
        <v>0</v>
      </c>
      <c r="O163" s="28">
        <f t="shared" si="24"/>
        <v>0</v>
      </c>
      <c r="P163" s="28">
        <f t="shared" si="24"/>
        <v>0</v>
      </c>
      <c r="Q163" s="28">
        <f>IF(SUM(Q161:Q162)=Q117,SUM(Q161,Q162),"ERROR")</f>
        <v>0</v>
      </c>
      <c r="R163" s="23"/>
      <c r="S163" s="23"/>
      <c r="T163" s="23"/>
      <c r="U163" s="23"/>
      <c r="V163" s="23"/>
      <c r="W163" s="23"/>
      <c r="X163" s="23"/>
      <c r="Y163" s="23"/>
      <c r="Z163" s="23"/>
      <c r="AA163" s="23"/>
      <c r="AB163" s="23"/>
      <c r="AC163" s="23"/>
      <c r="AD163" s="23"/>
      <c r="AE163" s="23"/>
      <c r="AF163" s="23"/>
      <c r="AG163" s="23"/>
    </row>
    <row r="164" spans="1:33" ht="30.75" customHeight="1" thickTop="1" x14ac:dyDescent="0.2">
      <c r="E164" s="409" t="s">
        <v>860</v>
      </c>
      <c r="G164" s="411">
        <f>SUM(G161:G162)</f>
        <v>0</v>
      </c>
      <c r="H164" s="411">
        <f>SUM(H161:H162)</f>
        <v>0</v>
      </c>
      <c r="I164" s="411">
        <f t="shared" ref="I164:Q164" si="25">SUM(I161:I162)</f>
        <v>0</v>
      </c>
      <c r="J164" s="411">
        <f t="shared" si="25"/>
        <v>0</v>
      </c>
      <c r="K164" s="411">
        <f t="shared" si="25"/>
        <v>0</v>
      </c>
      <c r="L164" s="411">
        <f t="shared" si="25"/>
        <v>0</v>
      </c>
      <c r="M164" s="411">
        <f t="shared" si="25"/>
        <v>0</v>
      </c>
      <c r="N164" s="411">
        <f t="shared" si="25"/>
        <v>0</v>
      </c>
      <c r="O164" s="411">
        <f t="shared" si="25"/>
        <v>0</v>
      </c>
      <c r="P164" s="411">
        <f t="shared" si="25"/>
        <v>0</v>
      </c>
      <c r="Q164" s="411">
        <f t="shared" si="25"/>
        <v>0</v>
      </c>
      <c r="R164" s="23"/>
      <c r="S164" s="23"/>
      <c r="T164" s="23"/>
      <c r="U164" s="23"/>
      <c r="V164" s="23"/>
      <c r="W164" s="23"/>
      <c r="X164" s="23"/>
      <c r="Y164" s="23"/>
      <c r="Z164" s="23"/>
      <c r="AA164" s="23"/>
      <c r="AB164" s="23"/>
      <c r="AC164" s="23"/>
      <c r="AD164" s="23"/>
      <c r="AE164" s="23"/>
      <c r="AF164" s="23"/>
      <c r="AG164" s="23"/>
    </row>
    <row r="165" spans="1:33" ht="12.75" x14ac:dyDescent="0.2">
      <c r="B165"/>
      <c r="C165"/>
      <c r="D165"/>
      <c r="E165" s="409" t="s">
        <v>549</v>
      </c>
      <c r="G165" s="411">
        <f>G120-G164</f>
        <v>0</v>
      </c>
      <c r="H165" s="411">
        <f t="shared" ref="H165:Q165" si="26">H120-H164</f>
        <v>0</v>
      </c>
      <c r="I165" s="411">
        <f t="shared" si="26"/>
        <v>0</v>
      </c>
      <c r="J165" s="411">
        <f t="shared" si="26"/>
        <v>0</v>
      </c>
      <c r="K165" s="411">
        <f t="shared" si="26"/>
        <v>0</v>
      </c>
      <c r="L165" s="411">
        <f t="shared" si="26"/>
        <v>0</v>
      </c>
      <c r="M165" s="411">
        <f t="shared" si="26"/>
        <v>0</v>
      </c>
      <c r="N165" s="411">
        <f t="shared" si="26"/>
        <v>0</v>
      </c>
      <c r="O165" s="411">
        <f t="shared" si="26"/>
        <v>0</v>
      </c>
      <c r="P165" s="411">
        <f t="shared" si="26"/>
        <v>0</v>
      </c>
      <c r="Q165" s="411">
        <f t="shared" si="26"/>
        <v>0</v>
      </c>
      <c r="R165" s="23"/>
      <c r="S165" s="23"/>
      <c r="T165" s="23"/>
      <c r="U165" s="23"/>
      <c r="V165" s="23"/>
      <c r="W165" s="23"/>
      <c r="X165" s="23"/>
      <c r="Y165" s="23"/>
      <c r="Z165" s="23"/>
      <c r="AA165" s="23"/>
      <c r="AB165" s="23"/>
      <c r="AC165" s="23"/>
      <c r="AD165" s="23"/>
      <c r="AE165" s="23"/>
      <c r="AF165" s="23"/>
      <c r="AG165" s="23"/>
    </row>
    <row r="166" spans="1:33" ht="47.25" customHeight="1" x14ac:dyDescent="0.2">
      <c r="A166" s="1165" t="s">
        <v>862</v>
      </c>
      <c r="B166" s="1166"/>
      <c r="C166" s="1166"/>
      <c r="D166" s="1166"/>
      <c r="E166" s="1167"/>
      <c r="J166" s="23"/>
      <c r="K166" s="23"/>
      <c r="L166" s="23"/>
      <c r="M166" s="23"/>
      <c r="N166" s="23"/>
      <c r="O166" s="210"/>
      <c r="P166" s="513"/>
      <c r="Q166" s="210"/>
      <c r="R166" s="23"/>
      <c r="S166" s="23"/>
      <c r="T166" s="23"/>
      <c r="U166" s="23"/>
      <c r="V166" s="23"/>
      <c r="W166" s="23"/>
      <c r="X166" s="23"/>
      <c r="Y166" s="23"/>
      <c r="Z166" s="23"/>
      <c r="AA166" s="23"/>
      <c r="AB166" s="23"/>
      <c r="AC166" s="23"/>
      <c r="AD166" s="23"/>
      <c r="AE166" s="23"/>
      <c r="AF166" s="23"/>
      <c r="AG166" s="23"/>
    </row>
    <row r="167" spans="1:33" ht="51" customHeight="1" x14ac:dyDescent="0.2">
      <c r="A167" s="1196"/>
      <c r="B167" s="1162"/>
      <c r="C167" s="1162"/>
      <c r="D167" s="1162"/>
      <c r="E167" s="1162"/>
      <c r="J167" s="23"/>
      <c r="K167" s="23"/>
      <c r="L167" s="23"/>
      <c r="M167" s="23"/>
      <c r="N167" s="23"/>
      <c r="O167" s="210"/>
      <c r="P167" s="23"/>
      <c r="Q167" s="210"/>
      <c r="R167" s="23"/>
      <c r="S167" s="23"/>
      <c r="T167" s="23"/>
      <c r="U167" s="23"/>
      <c r="V167" s="23"/>
      <c r="W167" s="23"/>
      <c r="X167" s="23"/>
      <c r="Y167" s="23"/>
      <c r="Z167" s="23"/>
      <c r="AA167" s="23"/>
      <c r="AB167" s="23"/>
      <c r="AC167" s="23"/>
      <c r="AD167" s="23"/>
      <c r="AE167" s="23"/>
      <c r="AF167" s="23"/>
      <c r="AG167" s="23"/>
    </row>
    <row r="168" spans="1:33" x14ac:dyDescent="0.2">
      <c r="E168" s="11"/>
      <c r="J168" s="23"/>
      <c r="K168" s="23"/>
      <c r="L168" s="23"/>
      <c r="M168" s="23"/>
      <c r="N168" s="23"/>
      <c r="O168" s="210"/>
      <c r="P168" s="23"/>
      <c r="Q168" s="210"/>
      <c r="R168" s="23"/>
      <c r="S168" s="23"/>
      <c r="T168" s="23"/>
      <c r="U168" s="23"/>
      <c r="V168" s="23"/>
      <c r="W168" s="23"/>
      <c r="X168" s="23"/>
      <c r="Y168" s="23"/>
      <c r="Z168" s="23"/>
      <c r="AA168" s="23"/>
      <c r="AB168" s="23"/>
      <c r="AC168" s="23"/>
      <c r="AD168" s="23"/>
      <c r="AE168" s="23"/>
      <c r="AF168" s="23"/>
      <c r="AG168" s="23"/>
    </row>
    <row r="169" spans="1:33" x14ac:dyDescent="0.2">
      <c r="E169" s="11"/>
      <c r="J169" s="23"/>
      <c r="K169" s="23"/>
      <c r="L169" s="23"/>
      <c r="M169" s="23"/>
      <c r="N169" s="23"/>
      <c r="O169" s="210"/>
      <c r="P169" s="23"/>
      <c r="Q169" s="210"/>
      <c r="R169" s="23"/>
      <c r="S169" s="23"/>
      <c r="T169" s="23"/>
      <c r="U169" s="23"/>
      <c r="V169" s="23"/>
      <c r="W169" s="23"/>
      <c r="X169" s="23"/>
      <c r="Y169" s="23"/>
      <c r="Z169" s="23"/>
      <c r="AA169" s="23"/>
      <c r="AB169" s="23"/>
      <c r="AC169" s="23"/>
      <c r="AD169" s="23"/>
      <c r="AE169" s="23"/>
      <c r="AF169" s="23"/>
      <c r="AG169" s="23"/>
    </row>
    <row r="170" spans="1:33" x14ac:dyDescent="0.2">
      <c r="E170" s="5" t="s">
        <v>217</v>
      </c>
      <c r="J170" s="23"/>
      <c r="K170" s="23"/>
      <c r="L170" s="23"/>
      <c r="M170" s="23"/>
      <c r="N170" s="23"/>
      <c r="O170" s="210"/>
      <c r="P170" s="23"/>
      <c r="Q170" s="210"/>
      <c r="R170" s="23"/>
      <c r="S170" s="23"/>
      <c r="T170" s="23"/>
      <c r="U170" s="23"/>
      <c r="V170" s="23"/>
      <c r="W170" s="23"/>
      <c r="X170" s="23"/>
      <c r="Y170" s="23"/>
      <c r="Z170" s="23"/>
      <c r="AA170" s="23"/>
      <c r="AB170" s="23"/>
      <c r="AC170" s="23"/>
      <c r="AD170" s="23"/>
      <c r="AE170" s="23"/>
      <c r="AF170" s="23"/>
      <c r="AG170" s="23"/>
    </row>
    <row r="171" spans="1:33" x14ac:dyDescent="0.2">
      <c r="E171" s="493" t="s">
        <v>1515</v>
      </c>
      <c r="G171" s="400">
        <f>SUM(G50,G58)</f>
        <v>0</v>
      </c>
      <c r="H171" s="400">
        <f t="shared" ref="H171:Q171" si="27">SUM(H50,H58)</f>
        <v>0</v>
      </c>
      <c r="I171" s="400">
        <f t="shared" si="27"/>
        <v>0</v>
      </c>
      <c r="J171" s="400">
        <f t="shared" si="27"/>
        <v>0</v>
      </c>
      <c r="K171" s="400">
        <f t="shared" si="27"/>
        <v>0</v>
      </c>
      <c r="L171" s="400">
        <f t="shared" si="27"/>
        <v>0</v>
      </c>
      <c r="M171" s="400">
        <f t="shared" si="27"/>
        <v>0</v>
      </c>
      <c r="N171" s="400">
        <f t="shared" si="27"/>
        <v>0</v>
      </c>
      <c r="O171" s="400">
        <f t="shared" si="27"/>
        <v>0</v>
      </c>
      <c r="P171" s="400">
        <f t="shared" si="27"/>
        <v>0</v>
      </c>
      <c r="Q171" s="400">
        <f t="shared" si="27"/>
        <v>0</v>
      </c>
      <c r="R171" s="23"/>
      <c r="S171" s="23"/>
      <c r="T171" s="23"/>
      <c r="U171" s="23"/>
      <c r="V171" s="23"/>
      <c r="W171" s="23"/>
      <c r="X171" s="23"/>
      <c r="Y171" s="23"/>
      <c r="Z171" s="23"/>
      <c r="AA171" s="23"/>
      <c r="AB171" s="23"/>
      <c r="AC171" s="23"/>
      <c r="AD171" s="23"/>
      <c r="AE171" s="23"/>
      <c r="AF171" s="23"/>
      <c r="AG171" s="23"/>
    </row>
    <row r="172" spans="1:33" x14ac:dyDescent="0.2">
      <c r="E172" s="11"/>
      <c r="K172" s="3"/>
      <c r="L172" s="3"/>
      <c r="M172" s="3"/>
      <c r="N172" s="3"/>
      <c r="O172" s="3"/>
      <c r="P172" s="3"/>
      <c r="Q172" s="3"/>
      <c r="R172" s="23"/>
      <c r="S172" s="23"/>
      <c r="T172" s="23"/>
      <c r="U172" s="23"/>
      <c r="V172" s="23"/>
      <c r="W172" s="23"/>
      <c r="X172" s="23"/>
      <c r="Y172" s="23"/>
      <c r="Z172" s="23"/>
      <c r="AA172" s="23"/>
      <c r="AB172" s="23"/>
      <c r="AC172" s="23"/>
      <c r="AD172" s="23"/>
      <c r="AE172" s="23"/>
      <c r="AF172" s="23"/>
      <c r="AG172" s="23"/>
    </row>
    <row r="173" spans="1:33" x14ac:dyDescent="0.2">
      <c r="E173" s="11" t="s">
        <v>315</v>
      </c>
      <c r="G173" s="400">
        <f t="shared" ref="G173:Q173" si="28">SUM(G79:G80)</f>
        <v>0</v>
      </c>
      <c r="H173" s="400">
        <f t="shared" si="28"/>
        <v>0</v>
      </c>
      <c r="I173" s="400">
        <f t="shared" si="28"/>
        <v>0</v>
      </c>
      <c r="J173" s="400">
        <f t="shared" si="28"/>
        <v>0</v>
      </c>
      <c r="K173" s="400">
        <f t="shared" si="28"/>
        <v>0</v>
      </c>
      <c r="L173" s="400">
        <f t="shared" si="28"/>
        <v>0</v>
      </c>
      <c r="M173" s="400">
        <f t="shared" si="28"/>
        <v>0</v>
      </c>
      <c r="N173" s="400">
        <f t="shared" si="28"/>
        <v>0</v>
      </c>
      <c r="O173" s="400">
        <f t="shared" si="28"/>
        <v>0</v>
      </c>
      <c r="P173" s="400">
        <f t="shared" si="28"/>
        <v>0</v>
      </c>
      <c r="Q173" s="400">
        <f t="shared" si="28"/>
        <v>0</v>
      </c>
      <c r="R173" s="23"/>
      <c r="S173" s="23"/>
      <c r="T173" s="23"/>
      <c r="U173" s="23"/>
      <c r="V173" s="23"/>
      <c r="W173" s="23"/>
      <c r="X173" s="23"/>
      <c r="Y173" s="23"/>
      <c r="Z173" s="23"/>
      <c r="AA173" s="23"/>
      <c r="AB173" s="23"/>
      <c r="AC173" s="23"/>
      <c r="AD173" s="23"/>
      <c r="AE173" s="23"/>
      <c r="AF173" s="23"/>
      <c r="AG173" s="23"/>
    </row>
    <row r="174" spans="1:33" x14ac:dyDescent="0.2">
      <c r="E174" s="11"/>
      <c r="K174" s="3"/>
      <c r="L174" s="3"/>
      <c r="M174" s="3"/>
      <c r="N174" s="3"/>
      <c r="O174" s="3"/>
      <c r="P174" s="3"/>
      <c r="Q174" s="3"/>
      <c r="R174" s="23"/>
      <c r="S174" s="23"/>
      <c r="T174" s="23"/>
      <c r="U174" s="23"/>
      <c r="V174" s="23"/>
      <c r="W174" s="23"/>
      <c r="X174" s="23"/>
      <c r="Y174" s="23"/>
      <c r="Z174" s="23"/>
      <c r="AA174" s="23"/>
      <c r="AB174" s="23"/>
      <c r="AC174" s="23"/>
      <c r="AD174" s="23"/>
      <c r="AE174" s="23"/>
      <c r="AF174" s="23"/>
      <c r="AG174" s="23"/>
    </row>
    <row r="175" spans="1:33" x14ac:dyDescent="0.2">
      <c r="E175" s="493" t="s">
        <v>927</v>
      </c>
      <c r="K175" s="3"/>
      <c r="L175" s="3"/>
      <c r="M175" s="3"/>
      <c r="N175" s="3"/>
      <c r="O175" s="3"/>
      <c r="P175" s="3"/>
      <c r="Q175" s="3"/>
      <c r="R175" s="23"/>
      <c r="S175" s="23"/>
      <c r="T175" s="23"/>
      <c r="U175" s="23"/>
      <c r="V175" s="23"/>
      <c r="W175" s="23"/>
      <c r="X175" s="23"/>
      <c r="Y175" s="23"/>
      <c r="Z175" s="23"/>
      <c r="AA175" s="23"/>
      <c r="AB175" s="23"/>
      <c r="AC175" s="23"/>
      <c r="AD175" s="23"/>
      <c r="AE175" s="23"/>
      <c r="AF175" s="23"/>
      <c r="AG175" s="23"/>
    </row>
    <row r="176" spans="1:33" x14ac:dyDescent="0.2">
      <c r="E176" s="274" t="s">
        <v>578</v>
      </c>
      <c r="G176" s="400">
        <f>SUM(G84,G95)</f>
        <v>0</v>
      </c>
      <c r="H176" s="400">
        <f t="shared" ref="H176:Q176" si="29">SUM(H84,H95)</f>
        <v>0</v>
      </c>
      <c r="I176" s="400">
        <f t="shared" si="29"/>
        <v>0</v>
      </c>
      <c r="J176" s="400">
        <f t="shared" si="29"/>
        <v>0</v>
      </c>
      <c r="K176" s="400">
        <f t="shared" si="29"/>
        <v>0</v>
      </c>
      <c r="L176" s="400">
        <f t="shared" si="29"/>
        <v>0</v>
      </c>
      <c r="M176" s="400">
        <f t="shared" si="29"/>
        <v>0</v>
      </c>
      <c r="N176" s="400">
        <f t="shared" si="29"/>
        <v>0</v>
      </c>
      <c r="O176" s="400">
        <f t="shared" si="29"/>
        <v>0</v>
      </c>
      <c r="P176" s="400">
        <f t="shared" si="29"/>
        <v>0</v>
      </c>
      <c r="Q176" s="400">
        <f t="shared" si="29"/>
        <v>0</v>
      </c>
      <c r="R176" s="23"/>
      <c r="S176" s="23"/>
      <c r="T176" s="23"/>
      <c r="U176" s="23"/>
      <c r="V176" s="23"/>
      <c r="W176" s="23"/>
      <c r="X176" s="23"/>
      <c r="Y176" s="23"/>
      <c r="Z176" s="23"/>
      <c r="AA176" s="23"/>
      <c r="AB176" s="23"/>
      <c r="AC176" s="23"/>
      <c r="AD176" s="23"/>
      <c r="AE176" s="23"/>
      <c r="AF176" s="23"/>
      <c r="AG176" s="23"/>
    </row>
    <row r="177" spans="4:33" hidden="1" x14ac:dyDescent="0.2">
      <c r="E177" s="274"/>
      <c r="G177" s="400"/>
      <c r="H177" s="400"/>
      <c r="I177" s="400"/>
      <c r="J177" s="400"/>
      <c r="K177" s="400"/>
      <c r="L177" s="400"/>
      <c r="M177" s="400"/>
      <c r="N177" s="400"/>
      <c r="O177" s="400"/>
      <c r="P177" s="400"/>
      <c r="Q177" s="400"/>
      <c r="R177" s="23"/>
      <c r="S177" s="23"/>
      <c r="T177" s="23"/>
      <c r="U177" s="23"/>
      <c r="V177" s="23"/>
      <c r="W177" s="23"/>
      <c r="X177" s="23"/>
      <c r="Y177" s="23"/>
      <c r="Z177" s="23"/>
      <c r="AA177" s="23"/>
      <c r="AB177" s="23"/>
      <c r="AC177" s="23"/>
      <c r="AD177" s="23"/>
      <c r="AE177" s="23"/>
      <c r="AF177" s="23"/>
      <c r="AG177" s="23"/>
    </row>
    <row r="178" spans="4:33" x14ac:dyDescent="0.2">
      <c r="E178" s="274" t="s">
        <v>751</v>
      </c>
      <c r="G178" s="400">
        <f>SUM(G86,G97)</f>
        <v>0</v>
      </c>
      <c r="H178" s="400">
        <f t="shared" ref="H178:Q178" si="30">SUM(H86,H97)</f>
        <v>0</v>
      </c>
      <c r="I178" s="400">
        <f t="shared" si="30"/>
        <v>0</v>
      </c>
      <c r="J178" s="400">
        <f t="shared" si="30"/>
        <v>0</v>
      </c>
      <c r="K178" s="400">
        <f t="shared" si="30"/>
        <v>0</v>
      </c>
      <c r="L178" s="400">
        <f t="shared" si="30"/>
        <v>0</v>
      </c>
      <c r="M178" s="400">
        <f t="shared" si="30"/>
        <v>0</v>
      </c>
      <c r="N178" s="400">
        <f t="shared" si="30"/>
        <v>0</v>
      </c>
      <c r="O178" s="400">
        <f t="shared" si="30"/>
        <v>0</v>
      </c>
      <c r="P178" s="400">
        <f t="shared" si="30"/>
        <v>0</v>
      </c>
      <c r="Q178" s="400">
        <f t="shared" si="30"/>
        <v>0</v>
      </c>
      <c r="R178" s="23"/>
      <c r="S178" s="23"/>
      <c r="T178" s="23"/>
      <c r="U178" s="23"/>
      <c r="V178" s="23"/>
      <c r="W178" s="23"/>
      <c r="X178" s="23"/>
      <c r="Y178" s="23"/>
      <c r="Z178" s="23"/>
      <c r="AA178" s="23"/>
      <c r="AB178" s="23"/>
      <c r="AC178" s="23"/>
      <c r="AD178" s="23"/>
      <c r="AE178" s="23"/>
      <c r="AF178" s="23"/>
      <c r="AG178" s="23"/>
    </row>
    <row r="179" spans="4:33" x14ac:dyDescent="0.2">
      <c r="E179" s="274" t="s">
        <v>116</v>
      </c>
      <c r="G179" s="400">
        <f t="shared" ref="G179:Q179" si="31">SUM(G87,G98)</f>
        <v>0</v>
      </c>
      <c r="H179" s="400">
        <f t="shared" si="31"/>
        <v>0</v>
      </c>
      <c r="I179" s="400">
        <f t="shared" si="31"/>
        <v>0</v>
      </c>
      <c r="J179" s="400">
        <f t="shared" si="31"/>
        <v>0</v>
      </c>
      <c r="K179" s="400">
        <f t="shared" si="31"/>
        <v>0</v>
      </c>
      <c r="L179" s="400">
        <f t="shared" si="31"/>
        <v>0</v>
      </c>
      <c r="M179" s="400">
        <f t="shared" si="31"/>
        <v>0</v>
      </c>
      <c r="N179" s="400">
        <f t="shared" si="31"/>
        <v>0</v>
      </c>
      <c r="O179" s="400">
        <f t="shared" si="31"/>
        <v>0</v>
      </c>
      <c r="P179" s="400">
        <f t="shared" si="31"/>
        <v>0</v>
      </c>
      <c r="Q179" s="400">
        <f t="shared" si="31"/>
        <v>0</v>
      </c>
      <c r="R179" s="23"/>
      <c r="S179" s="23"/>
      <c r="T179" s="23"/>
      <c r="U179" s="23"/>
      <c r="V179" s="23"/>
      <c r="W179" s="23"/>
      <c r="X179" s="23"/>
      <c r="Y179" s="23"/>
      <c r="Z179" s="23"/>
      <c r="AA179" s="23"/>
      <c r="AB179" s="23"/>
      <c r="AC179" s="23"/>
      <c r="AD179" s="23"/>
      <c r="AE179" s="23"/>
      <c r="AF179" s="23"/>
      <c r="AG179" s="23"/>
    </row>
    <row r="180" spans="4:33" x14ac:dyDescent="0.2">
      <c r="E180" s="274" t="s">
        <v>816</v>
      </c>
      <c r="G180" s="400">
        <f t="shared" ref="G180:Q180" si="32">SUM(G88,G99)</f>
        <v>0</v>
      </c>
      <c r="H180" s="400">
        <f t="shared" si="32"/>
        <v>0</v>
      </c>
      <c r="I180" s="400">
        <f t="shared" si="32"/>
        <v>0</v>
      </c>
      <c r="J180" s="400">
        <f t="shared" si="32"/>
        <v>0</v>
      </c>
      <c r="K180" s="400">
        <f t="shared" si="32"/>
        <v>0</v>
      </c>
      <c r="L180" s="400">
        <f t="shared" si="32"/>
        <v>0</v>
      </c>
      <c r="M180" s="400">
        <f t="shared" si="32"/>
        <v>0</v>
      </c>
      <c r="N180" s="400">
        <f t="shared" si="32"/>
        <v>0</v>
      </c>
      <c r="O180" s="400">
        <f t="shared" si="32"/>
        <v>0</v>
      </c>
      <c r="P180" s="400">
        <f t="shared" si="32"/>
        <v>0</v>
      </c>
      <c r="Q180" s="400">
        <f t="shared" si="32"/>
        <v>0</v>
      </c>
      <c r="R180" s="23"/>
      <c r="S180" s="23"/>
      <c r="T180" s="23"/>
      <c r="U180" s="23"/>
      <c r="V180" s="23"/>
      <c r="W180" s="23"/>
      <c r="X180" s="23"/>
      <c r="Y180" s="23"/>
      <c r="Z180" s="23"/>
      <c r="AA180" s="23"/>
      <c r="AB180" s="23"/>
      <c r="AC180" s="23"/>
      <c r="AD180" s="23"/>
      <c r="AE180" s="23"/>
      <c r="AF180" s="23"/>
      <c r="AG180" s="23"/>
    </row>
    <row r="181" spans="4:33" x14ac:dyDescent="0.2">
      <c r="E181" s="274" t="s">
        <v>716</v>
      </c>
      <c r="G181" s="400">
        <f t="shared" ref="G181:Q181" si="33">SUM(G89,G100)</f>
        <v>0</v>
      </c>
      <c r="H181" s="400">
        <f t="shared" si="33"/>
        <v>0</v>
      </c>
      <c r="I181" s="400">
        <f t="shared" si="33"/>
        <v>0</v>
      </c>
      <c r="J181" s="400">
        <f t="shared" si="33"/>
        <v>0</v>
      </c>
      <c r="K181" s="400">
        <f t="shared" si="33"/>
        <v>0</v>
      </c>
      <c r="L181" s="400">
        <f t="shared" si="33"/>
        <v>0</v>
      </c>
      <c r="M181" s="400">
        <f t="shared" si="33"/>
        <v>0</v>
      </c>
      <c r="N181" s="400">
        <f t="shared" si="33"/>
        <v>0</v>
      </c>
      <c r="O181" s="400">
        <f t="shared" si="33"/>
        <v>0</v>
      </c>
      <c r="P181" s="400">
        <f t="shared" si="33"/>
        <v>0</v>
      </c>
      <c r="Q181" s="400">
        <f t="shared" si="33"/>
        <v>0</v>
      </c>
      <c r="R181" s="23"/>
      <c r="S181" s="23"/>
      <c r="T181" s="23"/>
      <c r="U181" s="23"/>
      <c r="V181" s="23"/>
      <c r="W181" s="23"/>
      <c r="X181" s="23"/>
      <c r="Y181" s="23"/>
      <c r="Z181" s="23"/>
      <c r="AA181" s="23"/>
      <c r="AB181" s="23"/>
      <c r="AC181" s="23"/>
      <c r="AD181" s="23"/>
      <c r="AE181" s="23"/>
      <c r="AF181" s="23"/>
      <c r="AG181" s="23"/>
    </row>
    <row r="182" spans="4:33" hidden="1" x14ac:dyDescent="0.2">
      <c r="D182" s="686"/>
      <c r="E182" s="890" t="s">
        <v>1279</v>
      </c>
      <c r="G182" s="400">
        <f>G101</f>
        <v>0</v>
      </c>
      <c r="H182" s="400">
        <f t="shared" ref="H182:Q182" si="34">H101</f>
        <v>0</v>
      </c>
      <c r="I182" s="400">
        <f t="shared" si="34"/>
        <v>0</v>
      </c>
      <c r="J182" s="400">
        <f t="shared" si="34"/>
        <v>0</v>
      </c>
      <c r="K182" s="400">
        <f t="shared" si="34"/>
        <v>0</v>
      </c>
      <c r="L182" s="400">
        <f t="shared" si="34"/>
        <v>0</v>
      </c>
      <c r="M182" s="400">
        <f t="shared" si="34"/>
        <v>0</v>
      </c>
      <c r="N182" s="400">
        <f t="shared" si="34"/>
        <v>0</v>
      </c>
      <c r="O182" s="400">
        <f t="shared" si="34"/>
        <v>0</v>
      </c>
      <c r="P182" s="400">
        <f t="shared" si="34"/>
        <v>0</v>
      </c>
      <c r="Q182" s="400">
        <f t="shared" si="34"/>
        <v>0</v>
      </c>
      <c r="R182" s="23"/>
      <c r="S182" s="23"/>
      <c r="T182" s="23"/>
      <c r="U182" s="23"/>
      <c r="V182" s="23"/>
      <c r="W182" s="23"/>
      <c r="X182" s="23"/>
      <c r="Y182" s="23"/>
      <c r="Z182" s="23"/>
      <c r="AA182" s="23"/>
      <c r="AB182" s="23"/>
      <c r="AC182" s="23"/>
      <c r="AD182" s="23"/>
      <c r="AE182" s="23"/>
      <c r="AF182" s="23"/>
      <c r="AG182" s="23"/>
    </row>
    <row r="183" spans="4:33" hidden="1" x14ac:dyDescent="0.2">
      <c r="D183" s="686"/>
      <c r="E183" s="890" t="s">
        <v>1305</v>
      </c>
      <c r="G183" s="400">
        <f>G102</f>
        <v>0</v>
      </c>
      <c r="H183" s="400">
        <f t="shared" ref="H183:Q183" si="35">H102</f>
        <v>0</v>
      </c>
      <c r="I183" s="400">
        <f t="shared" si="35"/>
        <v>0</v>
      </c>
      <c r="J183" s="400">
        <f t="shared" si="35"/>
        <v>0</v>
      </c>
      <c r="K183" s="400">
        <f t="shared" si="35"/>
        <v>0</v>
      </c>
      <c r="L183" s="400">
        <f t="shared" si="35"/>
        <v>0</v>
      </c>
      <c r="M183" s="400">
        <f t="shared" si="35"/>
        <v>0</v>
      </c>
      <c r="N183" s="400">
        <f t="shared" si="35"/>
        <v>0</v>
      </c>
      <c r="O183" s="400">
        <f t="shared" si="35"/>
        <v>0</v>
      </c>
      <c r="P183" s="400">
        <f t="shared" si="35"/>
        <v>0</v>
      </c>
      <c r="Q183" s="400">
        <f t="shared" si="35"/>
        <v>0</v>
      </c>
      <c r="R183" s="23"/>
      <c r="S183" s="23"/>
      <c r="T183" s="23"/>
      <c r="U183" s="23"/>
      <c r="V183" s="23"/>
      <c r="W183" s="23"/>
      <c r="X183" s="23"/>
      <c r="Y183" s="23"/>
      <c r="Z183" s="23"/>
      <c r="AA183" s="23"/>
      <c r="AB183" s="23"/>
      <c r="AC183" s="23"/>
      <c r="AD183" s="23"/>
      <c r="AE183" s="23"/>
      <c r="AF183" s="23"/>
      <c r="AG183" s="23"/>
    </row>
    <row r="184" spans="4:33" x14ac:dyDescent="0.2">
      <c r="E184" s="274" t="s">
        <v>82</v>
      </c>
      <c r="G184" s="400">
        <f>SUM(G90,G103)</f>
        <v>0</v>
      </c>
      <c r="H184" s="400">
        <f t="shared" ref="H184:Q184" si="36">SUM(H90,H103)</f>
        <v>0</v>
      </c>
      <c r="I184" s="400">
        <f t="shared" si="36"/>
        <v>0</v>
      </c>
      <c r="J184" s="400">
        <f t="shared" si="36"/>
        <v>0</v>
      </c>
      <c r="K184" s="400">
        <f t="shared" si="36"/>
        <v>0</v>
      </c>
      <c r="L184" s="400">
        <f t="shared" si="36"/>
        <v>0</v>
      </c>
      <c r="M184" s="400">
        <f t="shared" si="36"/>
        <v>0</v>
      </c>
      <c r="N184" s="400">
        <f t="shared" si="36"/>
        <v>0</v>
      </c>
      <c r="O184" s="400">
        <f t="shared" si="36"/>
        <v>0</v>
      </c>
      <c r="P184" s="400">
        <f t="shared" si="36"/>
        <v>0</v>
      </c>
      <c r="Q184" s="400">
        <f t="shared" si="36"/>
        <v>0</v>
      </c>
      <c r="R184" s="23"/>
      <c r="S184" s="23"/>
      <c r="T184" s="23"/>
      <c r="U184" s="23"/>
      <c r="V184" s="23"/>
      <c r="W184" s="23"/>
      <c r="X184" s="23"/>
      <c r="Y184" s="23"/>
      <c r="Z184" s="23"/>
      <c r="AA184" s="23"/>
      <c r="AB184" s="23"/>
      <c r="AC184" s="23"/>
      <c r="AD184" s="23"/>
      <c r="AE184" s="23"/>
      <c r="AF184" s="23"/>
      <c r="AG184" s="23"/>
    </row>
    <row r="185" spans="4:33" x14ac:dyDescent="0.2">
      <c r="E185" s="274" t="s">
        <v>760</v>
      </c>
      <c r="G185" s="400">
        <f>SUM(G91,G104)</f>
        <v>0</v>
      </c>
      <c r="H185" s="400">
        <f t="shared" ref="H185:Q185" si="37">SUM(H91,H104)</f>
        <v>0</v>
      </c>
      <c r="I185" s="400">
        <f t="shared" si="37"/>
        <v>0</v>
      </c>
      <c r="J185" s="400">
        <f t="shared" si="37"/>
        <v>0</v>
      </c>
      <c r="K185" s="400">
        <f t="shared" si="37"/>
        <v>0</v>
      </c>
      <c r="L185" s="400">
        <f t="shared" si="37"/>
        <v>0</v>
      </c>
      <c r="M185" s="400">
        <f t="shared" si="37"/>
        <v>0</v>
      </c>
      <c r="N185" s="400">
        <f t="shared" si="37"/>
        <v>0</v>
      </c>
      <c r="O185" s="400">
        <f t="shared" si="37"/>
        <v>0</v>
      </c>
      <c r="P185" s="400">
        <f t="shared" si="37"/>
        <v>0</v>
      </c>
      <c r="Q185" s="400">
        <f t="shared" si="37"/>
        <v>0</v>
      </c>
      <c r="R185" s="23"/>
      <c r="S185" s="23"/>
      <c r="T185" s="23"/>
      <c r="U185" s="23"/>
      <c r="V185" s="23"/>
      <c r="W185" s="23"/>
      <c r="X185" s="23"/>
      <c r="Y185" s="23"/>
      <c r="Z185" s="23"/>
      <c r="AA185" s="23"/>
      <c r="AB185" s="23"/>
      <c r="AC185" s="23"/>
      <c r="AD185" s="23"/>
      <c r="AE185" s="23"/>
      <c r="AF185" s="23"/>
      <c r="AG185" s="23"/>
    </row>
    <row r="186" spans="4:33" x14ac:dyDescent="0.2">
      <c r="E186" s="11"/>
      <c r="J186" s="23"/>
      <c r="K186" s="23"/>
      <c r="L186" s="23"/>
      <c r="M186" s="23"/>
      <c r="N186" s="23"/>
      <c r="O186" s="210"/>
      <c r="P186" s="23"/>
      <c r="Q186" s="23"/>
      <c r="R186" s="23"/>
      <c r="S186" s="23"/>
      <c r="T186" s="23"/>
      <c r="U186" s="23"/>
      <c r="V186" s="23"/>
      <c r="W186" s="23"/>
      <c r="X186" s="23"/>
      <c r="Y186" s="23"/>
      <c r="Z186" s="23"/>
      <c r="AA186" s="23"/>
      <c r="AB186" s="23"/>
      <c r="AC186" s="23"/>
      <c r="AD186" s="23"/>
      <c r="AE186" s="23"/>
      <c r="AF186" s="23"/>
      <c r="AG186" s="23"/>
    </row>
    <row r="187" spans="4:33" x14ac:dyDescent="0.2">
      <c r="E187" s="11"/>
      <c r="J187" s="23"/>
      <c r="K187" s="23"/>
      <c r="L187" s="23"/>
      <c r="M187" s="23"/>
      <c r="N187" s="23"/>
      <c r="O187" s="210"/>
      <c r="P187" s="23"/>
      <c r="Q187" s="23"/>
      <c r="R187" s="23"/>
      <c r="S187" s="23"/>
      <c r="T187" s="23"/>
      <c r="U187" s="23"/>
      <c r="V187" s="23"/>
      <c r="W187" s="23"/>
      <c r="X187" s="23"/>
      <c r="Y187" s="23"/>
      <c r="Z187" s="23"/>
      <c r="AA187" s="23"/>
      <c r="AB187" s="23"/>
      <c r="AC187" s="23"/>
      <c r="AD187" s="23"/>
      <c r="AE187" s="23"/>
      <c r="AF187" s="23"/>
      <c r="AG187" s="23"/>
    </row>
    <row r="188" spans="4:33" x14ac:dyDescent="0.2">
      <c r="E188" s="11"/>
      <c r="J188" s="23"/>
      <c r="K188" s="23"/>
      <c r="L188" s="23"/>
      <c r="M188" s="23"/>
      <c r="N188" s="23"/>
      <c r="O188" s="210"/>
      <c r="P188" s="23"/>
      <c r="Q188" s="23"/>
      <c r="R188" s="23"/>
      <c r="S188" s="23"/>
      <c r="T188" s="23"/>
      <c r="U188" s="23"/>
      <c r="V188" s="23"/>
      <c r="W188" s="23"/>
      <c r="X188" s="23"/>
      <c r="Y188" s="23"/>
      <c r="Z188" s="23"/>
      <c r="AA188" s="23"/>
      <c r="AB188" s="23"/>
      <c r="AC188" s="23"/>
      <c r="AD188" s="23"/>
      <c r="AE188" s="23"/>
      <c r="AF188" s="23"/>
      <c r="AG188" s="23"/>
    </row>
    <row r="189" spans="4:33" x14ac:dyDescent="0.2">
      <c r="E189" s="11"/>
      <c r="J189" s="23"/>
      <c r="K189" s="23"/>
      <c r="L189" s="23"/>
      <c r="M189" s="23"/>
      <c r="N189" s="23"/>
      <c r="O189" s="210"/>
      <c r="P189" s="23"/>
      <c r="Q189" s="23"/>
      <c r="R189" s="23"/>
      <c r="S189" s="23"/>
      <c r="T189" s="23"/>
      <c r="U189" s="23"/>
      <c r="V189" s="23"/>
      <c r="W189" s="23"/>
      <c r="X189" s="23"/>
      <c r="Y189" s="23"/>
      <c r="Z189" s="23"/>
      <c r="AA189" s="23"/>
      <c r="AB189" s="23"/>
      <c r="AC189" s="23"/>
      <c r="AD189" s="23"/>
      <c r="AE189" s="23"/>
      <c r="AF189" s="23"/>
      <c r="AG189" s="23"/>
    </row>
    <row r="190" spans="4:33" x14ac:dyDescent="0.2">
      <c r="E190" s="11"/>
      <c r="J190" s="23"/>
      <c r="K190" s="23"/>
      <c r="L190" s="23"/>
      <c r="M190" s="23"/>
      <c r="N190" s="23"/>
      <c r="O190" s="210"/>
      <c r="P190" s="23"/>
      <c r="Q190" s="23"/>
      <c r="R190" s="23"/>
      <c r="S190" s="23"/>
      <c r="T190" s="23"/>
      <c r="U190" s="23"/>
      <c r="V190" s="23"/>
      <c r="W190" s="23"/>
      <c r="X190" s="23"/>
      <c r="Y190" s="23"/>
      <c r="Z190" s="23"/>
      <c r="AA190" s="23"/>
      <c r="AB190" s="23"/>
      <c r="AC190" s="23"/>
      <c r="AD190" s="23"/>
      <c r="AE190" s="23"/>
      <c r="AF190" s="23"/>
      <c r="AG190" s="23"/>
    </row>
    <row r="191" spans="4:33" x14ac:dyDescent="0.2">
      <c r="E191" s="11"/>
      <c r="J191" s="23"/>
      <c r="K191" s="23"/>
      <c r="L191" s="23"/>
      <c r="M191" s="23"/>
      <c r="N191" s="23"/>
      <c r="O191" s="210"/>
      <c r="P191" s="23"/>
      <c r="Q191" s="23"/>
      <c r="R191" s="23"/>
      <c r="S191" s="23"/>
      <c r="T191" s="23"/>
      <c r="U191" s="23"/>
      <c r="V191" s="23"/>
      <c r="W191" s="23"/>
      <c r="X191" s="23"/>
      <c r="Y191" s="23"/>
      <c r="Z191" s="23"/>
      <c r="AA191" s="23"/>
      <c r="AB191" s="23"/>
      <c r="AC191" s="23"/>
      <c r="AD191" s="23"/>
      <c r="AE191" s="23"/>
      <c r="AF191" s="23"/>
      <c r="AG191" s="23"/>
    </row>
    <row r="192" spans="4:33" x14ac:dyDescent="0.2">
      <c r="E192" s="11"/>
      <c r="J192" s="23"/>
      <c r="K192" s="23"/>
      <c r="L192" s="23"/>
      <c r="M192" s="23"/>
      <c r="N192" s="23"/>
      <c r="O192" s="210"/>
      <c r="P192" s="23"/>
      <c r="Q192" s="23"/>
      <c r="R192" s="23"/>
      <c r="S192" s="23"/>
      <c r="T192" s="23"/>
      <c r="U192" s="23"/>
      <c r="V192" s="23"/>
      <c r="W192" s="23"/>
      <c r="X192" s="23"/>
      <c r="Y192" s="23"/>
      <c r="Z192" s="23"/>
      <c r="AA192" s="23"/>
      <c r="AB192" s="23"/>
      <c r="AC192" s="23"/>
      <c r="AD192" s="23"/>
      <c r="AE192" s="23"/>
      <c r="AF192" s="23"/>
      <c r="AG192" s="23"/>
    </row>
    <row r="193" spans="5:34" x14ac:dyDescent="0.2">
      <c r="E193" s="11"/>
      <c r="J193" s="23"/>
      <c r="K193" s="23"/>
      <c r="L193" s="23"/>
      <c r="M193" s="23"/>
      <c r="N193" s="23"/>
      <c r="O193" s="210"/>
      <c r="P193" s="23"/>
      <c r="Q193" s="23"/>
      <c r="R193" s="23"/>
      <c r="S193" s="23"/>
      <c r="T193" s="23"/>
      <c r="U193" s="23"/>
      <c r="V193" s="23"/>
      <c r="W193" s="23"/>
      <c r="X193" s="23"/>
      <c r="Y193" s="23"/>
      <c r="Z193" s="23"/>
      <c r="AA193" s="23"/>
      <c r="AB193" s="23"/>
      <c r="AC193" s="23"/>
      <c r="AD193" s="23"/>
      <c r="AE193" s="23"/>
      <c r="AF193" s="23"/>
      <c r="AG193" s="23"/>
    </row>
    <row r="194" spans="5:34" x14ac:dyDescent="0.2">
      <c r="E194" s="11"/>
      <c r="K194" s="23"/>
      <c r="L194" s="23"/>
      <c r="M194" s="23"/>
      <c r="N194" s="23"/>
      <c r="O194" s="210"/>
      <c r="P194" s="23"/>
      <c r="Q194" s="23"/>
      <c r="R194" s="23"/>
      <c r="S194" s="23"/>
      <c r="T194" s="23"/>
      <c r="U194" s="23"/>
      <c r="V194" s="23"/>
      <c r="W194" s="23"/>
      <c r="X194" s="23"/>
      <c r="Y194" s="23"/>
      <c r="Z194" s="23"/>
      <c r="AA194" s="23"/>
      <c r="AB194" s="23"/>
      <c r="AC194" s="23"/>
      <c r="AD194" s="23"/>
      <c r="AE194" s="23"/>
      <c r="AF194" s="23"/>
      <c r="AG194" s="23"/>
      <c r="AH194" s="23"/>
    </row>
    <row r="195" spans="5:34" x14ac:dyDescent="0.2">
      <c r="E195" s="11"/>
      <c r="K195" s="23"/>
      <c r="L195" s="23"/>
      <c r="M195" s="23"/>
      <c r="N195" s="23"/>
      <c r="O195" s="210"/>
      <c r="P195" s="23"/>
      <c r="Q195" s="23"/>
      <c r="R195" s="23"/>
      <c r="S195" s="23"/>
      <c r="T195" s="23"/>
      <c r="U195" s="23"/>
      <c r="V195" s="23"/>
      <c r="W195" s="23"/>
      <c r="X195" s="23"/>
      <c r="Y195" s="23"/>
      <c r="Z195" s="23"/>
      <c r="AA195" s="23"/>
      <c r="AB195" s="23"/>
      <c r="AC195" s="23"/>
      <c r="AD195" s="23"/>
      <c r="AE195" s="23"/>
      <c r="AF195" s="23"/>
      <c r="AG195" s="23"/>
      <c r="AH195" s="23"/>
    </row>
    <row r="196" spans="5:34" x14ac:dyDescent="0.2">
      <c r="E196" s="11"/>
      <c r="K196" s="23"/>
      <c r="L196" s="23"/>
      <c r="M196" s="23"/>
      <c r="N196" s="23"/>
      <c r="O196" s="210"/>
      <c r="P196" s="23"/>
      <c r="Q196" s="23"/>
      <c r="R196" s="23"/>
      <c r="S196" s="23"/>
      <c r="T196" s="23"/>
      <c r="U196" s="23"/>
      <c r="V196" s="23"/>
      <c r="W196" s="23"/>
      <c r="X196" s="23"/>
      <c r="Y196" s="23"/>
      <c r="Z196" s="23"/>
      <c r="AA196" s="23"/>
      <c r="AB196" s="23"/>
      <c r="AC196" s="23"/>
      <c r="AD196" s="23"/>
      <c r="AE196" s="23"/>
      <c r="AF196" s="23"/>
      <c r="AG196" s="23"/>
      <c r="AH196" s="23"/>
    </row>
    <row r="197" spans="5:34" x14ac:dyDescent="0.2">
      <c r="E197" s="11"/>
      <c r="K197" s="23"/>
      <c r="L197" s="23"/>
      <c r="M197" s="23"/>
      <c r="N197" s="23"/>
      <c r="O197" s="210"/>
      <c r="P197" s="23"/>
      <c r="Q197" s="23"/>
      <c r="R197" s="23"/>
      <c r="S197" s="23"/>
      <c r="T197" s="23"/>
      <c r="U197" s="23"/>
      <c r="V197" s="23"/>
      <c r="W197" s="23"/>
      <c r="X197" s="23"/>
      <c r="Y197" s="23"/>
      <c r="Z197" s="23"/>
      <c r="AA197" s="23"/>
      <c r="AB197" s="23"/>
      <c r="AC197" s="23"/>
      <c r="AD197" s="23"/>
      <c r="AE197" s="23"/>
      <c r="AF197" s="23"/>
      <c r="AG197" s="23"/>
      <c r="AH197" s="23"/>
    </row>
    <row r="198" spans="5:34" x14ac:dyDescent="0.2">
      <c r="E198" s="11"/>
      <c r="K198" s="23"/>
      <c r="L198" s="23"/>
      <c r="M198" s="23"/>
      <c r="N198" s="23"/>
      <c r="O198" s="210"/>
      <c r="P198" s="23"/>
      <c r="Q198" s="23"/>
      <c r="R198" s="23"/>
      <c r="S198" s="23"/>
      <c r="T198" s="23"/>
      <c r="U198" s="23"/>
      <c r="V198" s="23"/>
      <c r="W198" s="23"/>
      <c r="X198" s="23"/>
      <c r="Y198" s="23"/>
      <c r="Z198" s="23"/>
      <c r="AA198" s="23"/>
      <c r="AB198" s="23"/>
      <c r="AC198" s="23"/>
      <c r="AD198" s="23"/>
      <c r="AE198" s="23"/>
      <c r="AF198" s="23"/>
      <c r="AG198" s="23"/>
      <c r="AH198" s="23"/>
    </row>
    <row r="199" spans="5:34" x14ac:dyDescent="0.2">
      <c r="E199" s="11"/>
      <c r="K199" s="23"/>
      <c r="L199" s="23"/>
      <c r="M199" s="23"/>
      <c r="N199" s="23"/>
      <c r="O199" s="210"/>
      <c r="P199" s="23"/>
      <c r="Q199" s="23"/>
      <c r="R199" s="23"/>
      <c r="S199" s="23"/>
      <c r="T199" s="23"/>
      <c r="U199" s="23"/>
      <c r="V199" s="23"/>
      <c r="W199" s="23"/>
      <c r="X199" s="23"/>
      <c r="Y199" s="23"/>
      <c r="Z199" s="23"/>
      <c r="AA199" s="23"/>
      <c r="AB199" s="23"/>
      <c r="AC199" s="23"/>
      <c r="AD199" s="23"/>
      <c r="AE199" s="23"/>
      <c r="AF199" s="23"/>
      <c r="AG199" s="23"/>
      <c r="AH199" s="23"/>
    </row>
    <row r="200" spans="5:34" x14ac:dyDescent="0.2">
      <c r="E200" s="11"/>
      <c r="K200" s="23"/>
      <c r="L200" s="23"/>
      <c r="M200" s="23"/>
      <c r="N200" s="23"/>
      <c r="O200" s="210"/>
      <c r="P200" s="23"/>
      <c r="Q200" s="23"/>
      <c r="R200" s="23"/>
      <c r="S200" s="23"/>
      <c r="T200" s="23"/>
      <c r="U200" s="23"/>
      <c r="V200" s="23"/>
      <c r="W200" s="23"/>
      <c r="X200" s="23"/>
      <c r="Y200" s="23"/>
      <c r="Z200" s="23"/>
      <c r="AA200" s="23"/>
      <c r="AB200" s="23"/>
      <c r="AC200" s="23"/>
      <c r="AD200" s="23"/>
      <c r="AE200" s="23"/>
      <c r="AF200" s="23"/>
      <c r="AG200" s="23"/>
      <c r="AH200" s="23"/>
    </row>
    <row r="201" spans="5:34" x14ac:dyDescent="0.2">
      <c r="E201" s="11"/>
      <c r="K201" s="23"/>
      <c r="L201" s="23"/>
      <c r="M201" s="23"/>
      <c r="N201" s="23"/>
      <c r="O201" s="210"/>
      <c r="P201" s="23"/>
      <c r="Q201" s="23"/>
      <c r="R201" s="23"/>
      <c r="S201" s="23"/>
      <c r="T201" s="23"/>
      <c r="U201" s="23"/>
      <c r="V201" s="23"/>
      <c r="W201" s="23"/>
      <c r="X201" s="23"/>
      <c r="Y201" s="23"/>
      <c r="Z201" s="23"/>
      <c r="AA201" s="23"/>
      <c r="AB201" s="23"/>
      <c r="AC201" s="23"/>
      <c r="AD201" s="23"/>
      <c r="AE201" s="23"/>
      <c r="AF201" s="23"/>
      <c r="AG201" s="23"/>
      <c r="AH201" s="23"/>
    </row>
    <row r="202" spans="5:34" x14ac:dyDescent="0.2">
      <c r="E202" s="11"/>
      <c r="K202" s="23"/>
      <c r="L202" s="23"/>
      <c r="M202" s="23"/>
      <c r="N202" s="23"/>
      <c r="O202" s="210"/>
      <c r="P202" s="23"/>
      <c r="Q202" s="23"/>
      <c r="R202" s="23"/>
      <c r="S202" s="23"/>
      <c r="T202" s="23"/>
      <c r="U202" s="23"/>
      <c r="V202" s="23"/>
      <c r="W202" s="23"/>
      <c r="X202" s="23"/>
      <c r="Y202" s="23"/>
      <c r="Z202" s="23"/>
      <c r="AA202" s="23"/>
      <c r="AB202" s="23"/>
      <c r="AC202" s="23"/>
      <c r="AD202" s="23"/>
      <c r="AE202" s="23"/>
      <c r="AF202" s="23"/>
      <c r="AG202" s="23"/>
      <c r="AH202" s="23"/>
    </row>
    <row r="203" spans="5:34" x14ac:dyDescent="0.2">
      <c r="E203" s="11"/>
      <c r="K203" s="23"/>
      <c r="L203" s="23"/>
      <c r="M203" s="23"/>
      <c r="N203" s="23"/>
      <c r="O203" s="210"/>
      <c r="P203" s="23"/>
      <c r="Q203" s="23"/>
      <c r="R203" s="23"/>
      <c r="S203" s="23"/>
      <c r="T203" s="23"/>
      <c r="U203" s="23"/>
      <c r="V203" s="23"/>
      <c r="W203" s="23"/>
      <c r="X203" s="23"/>
      <c r="Y203" s="23"/>
      <c r="Z203" s="23"/>
      <c r="AA203" s="23"/>
      <c r="AB203" s="23"/>
      <c r="AC203" s="23"/>
      <c r="AD203" s="23"/>
      <c r="AE203" s="23"/>
      <c r="AF203" s="23"/>
      <c r="AG203" s="23"/>
      <c r="AH203" s="23"/>
    </row>
    <row r="204" spans="5:34" x14ac:dyDescent="0.2">
      <c r="E204" s="11"/>
      <c r="K204" s="23"/>
      <c r="L204" s="23"/>
      <c r="M204" s="23"/>
      <c r="N204" s="23"/>
      <c r="O204" s="210"/>
      <c r="P204" s="23"/>
      <c r="Q204" s="23"/>
      <c r="R204" s="23"/>
      <c r="S204" s="23"/>
      <c r="T204" s="23"/>
      <c r="U204" s="23"/>
      <c r="V204" s="23"/>
      <c r="W204" s="23"/>
      <c r="X204" s="23"/>
      <c r="Y204" s="23"/>
      <c r="Z204" s="23"/>
      <c r="AA204" s="23"/>
      <c r="AB204" s="23"/>
      <c r="AC204" s="23"/>
      <c r="AD204" s="23"/>
      <c r="AE204" s="23"/>
      <c r="AF204" s="23"/>
      <c r="AG204" s="23"/>
      <c r="AH204" s="23"/>
    </row>
    <row r="205" spans="5:34" x14ac:dyDescent="0.2">
      <c r="E205" s="11"/>
      <c r="K205" s="23"/>
      <c r="L205" s="23"/>
      <c r="M205" s="23"/>
      <c r="N205" s="23"/>
      <c r="O205" s="210"/>
      <c r="P205" s="23"/>
      <c r="Q205" s="23"/>
      <c r="R205" s="23"/>
      <c r="S205" s="23"/>
      <c r="T205" s="23"/>
      <c r="U205" s="23"/>
      <c r="V205" s="23"/>
      <c r="W205" s="23"/>
      <c r="X205" s="23"/>
      <c r="Y205" s="23"/>
      <c r="Z205" s="23"/>
      <c r="AA205" s="23"/>
      <c r="AB205" s="23"/>
      <c r="AC205" s="23"/>
      <c r="AD205" s="23"/>
      <c r="AE205" s="23"/>
      <c r="AF205" s="23"/>
      <c r="AG205" s="23"/>
      <c r="AH205" s="23"/>
    </row>
    <row r="206" spans="5:34" x14ac:dyDescent="0.2">
      <c r="E206" s="11"/>
      <c r="K206" s="23"/>
      <c r="L206" s="23"/>
      <c r="M206" s="23"/>
      <c r="N206" s="23"/>
      <c r="O206" s="210"/>
      <c r="P206" s="23"/>
      <c r="Q206" s="23"/>
      <c r="R206" s="23"/>
      <c r="S206" s="23"/>
      <c r="T206" s="23"/>
      <c r="U206" s="23"/>
      <c r="V206" s="23"/>
      <c r="W206" s="23"/>
      <c r="X206" s="23"/>
      <c r="Y206" s="23"/>
      <c r="Z206" s="23"/>
      <c r="AA206" s="23"/>
      <c r="AB206" s="23"/>
      <c r="AC206" s="23"/>
      <c r="AD206" s="23"/>
      <c r="AE206" s="23"/>
      <c r="AF206" s="23"/>
      <c r="AG206" s="23"/>
      <c r="AH206" s="23"/>
    </row>
    <row r="207" spans="5:34" x14ac:dyDescent="0.2">
      <c r="E207" s="11"/>
      <c r="K207" s="23"/>
      <c r="L207" s="23"/>
      <c r="M207" s="23"/>
      <c r="N207" s="23"/>
      <c r="O207" s="210"/>
      <c r="P207" s="23"/>
      <c r="Q207" s="23"/>
      <c r="R207" s="23"/>
      <c r="S207" s="23"/>
      <c r="T207" s="23"/>
      <c r="U207" s="23"/>
      <c r="V207" s="23"/>
      <c r="W207" s="23"/>
      <c r="X207" s="23"/>
      <c r="Y207" s="23"/>
      <c r="Z207" s="23"/>
      <c r="AA207" s="23"/>
      <c r="AB207" s="23"/>
      <c r="AC207" s="23"/>
      <c r="AD207" s="23"/>
      <c r="AE207" s="23"/>
      <c r="AF207" s="23"/>
      <c r="AG207" s="23"/>
      <c r="AH207" s="23"/>
    </row>
    <row r="208" spans="5:34" x14ac:dyDescent="0.2">
      <c r="E208" s="11"/>
      <c r="K208" s="23"/>
      <c r="L208" s="23"/>
      <c r="M208" s="23"/>
      <c r="N208" s="23"/>
      <c r="O208" s="210"/>
      <c r="P208" s="23"/>
      <c r="Q208" s="23"/>
      <c r="R208" s="23"/>
      <c r="S208" s="23"/>
      <c r="T208" s="23"/>
      <c r="U208" s="23"/>
      <c r="V208" s="23"/>
      <c r="W208" s="23"/>
      <c r="X208" s="23"/>
      <c r="Y208" s="23"/>
      <c r="Z208" s="23"/>
      <c r="AA208" s="23"/>
      <c r="AB208" s="23"/>
      <c r="AC208" s="23"/>
      <c r="AD208" s="23"/>
      <c r="AE208" s="23"/>
      <c r="AF208" s="23"/>
      <c r="AG208" s="23"/>
      <c r="AH208" s="23"/>
    </row>
    <row r="209" spans="5:34" x14ac:dyDescent="0.2">
      <c r="E209" s="11"/>
      <c r="K209" s="23"/>
      <c r="L209" s="23"/>
      <c r="M209" s="23"/>
      <c r="N209" s="23"/>
      <c r="O209" s="210"/>
      <c r="P209" s="23"/>
      <c r="Q209" s="23"/>
      <c r="R209" s="23"/>
      <c r="S209" s="23"/>
      <c r="T209" s="23"/>
      <c r="U209" s="23"/>
      <c r="V209" s="23"/>
      <c r="W209" s="23"/>
      <c r="X209" s="23"/>
      <c r="Y209" s="23"/>
      <c r="Z209" s="23"/>
      <c r="AA209" s="23"/>
      <c r="AB209" s="23"/>
      <c r="AC209" s="23"/>
      <c r="AD209" s="23"/>
      <c r="AE209" s="23"/>
      <c r="AF209" s="23"/>
      <c r="AG209" s="23"/>
      <c r="AH209" s="23"/>
    </row>
    <row r="210" spans="5:34" x14ac:dyDescent="0.2">
      <c r="E210" s="11"/>
      <c r="K210" s="23"/>
      <c r="L210" s="23"/>
      <c r="M210" s="23"/>
      <c r="N210" s="23"/>
      <c r="O210" s="210"/>
      <c r="P210" s="23"/>
      <c r="Q210" s="23"/>
      <c r="R210" s="23"/>
      <c r="S210" s="23"/>
      <c r="T210" s="23"/>
      <c r="U210" s="23"/>
      <c r="V210" s="23"/>
      <c r="W210" s="23"/>
      <c r="X210" s="23"/>
      <c r="Y210" s="23"/>
      <c r="Z210" s="23"/>
      <c r="AA210" s="23"/>
      <c r="AB210" s="23"/>
      <c r="AC210" s="23"/>
      <c r="AD210" s="23"/>
      <c r="AE210" s="23"/>
      <c r="AF210" s="23"/>
      <c r="AG210" s="23"/>
      <c r="AH210" s="23"/>
    </row>
    <row r="211" spans="5:34" x14ac:dyDescent="0.2">
      <c r="E211" s="11"/>
      <c r="K211" s="23"/>
      <c r="L211" s="23"/>
      <c r="M211" s="23"/>
      <c r="N211" s="23"/>
      <c r="O211" s="210"/>
      <c r="P211" s="23"/>
      <c r="Q211" s="23"/>
      <c r="R211" s="23"/>
      <c r="S211" s="23"/>
      <c r="T211" s="23"/>
      <c r="U211" s="23"/>
      <c r="V211" s="23"/>
      <c r="W211" s="23"/>
      <c r="X211" s="23"/>
      <c r="Y211" s="23"/>
      <c r="Z211" s="23"/>
      <c r="AA211" s="23"/>
      <c r="AB211" s="23"/>
      <c r="AC211" s="23"/>
      <c r="AD211" s="23"/>
      <c r="AE211" s="23"/>
      <c r="AF211" s="23"/>
      <c r="AG211" s="23"/>
      <c r="AH211" s="23"/>
    </row>
    <row r="212" spans="5:34" x14ac:dyDescent="0.2">
      <c r="E212" s="11"/>
      <c r="K212" s="23"/>
      <c r="L212" s="23"/>
      <c r="M212" s="23"/>
      <c r="N212" s="23"/>
      <c r="O212" s="210"/>
      <c r="P212" s="23"/>
      <c r="Q212" s="23"/>
      <c r="R212" s="23"/>
      <c r="S212" s="23"/>
      <c r="T212" s="23"/>
      <c r="U212" s="23"/>
      <c r="V212" s="23"/>
      <c r="W212" s="23"/>
      <c r="X212" s="23"/>
      <c r="Y212" s="23"/>
      <c r="Z212" s="23"/>
      <c r="AA212" s="23"/>
      <c r="AB212" s="23"/>
      <c r="AC212" s="23"/>
      <c r="AD212" s="23"/>
      <c r="AE212" s="23"/>
      <c r="AF212" s="23"/>
      <c r="AG212" s="23"/>
      <c r="AH212" s="23"/>
    </row>
    <row r="213" spans="5:34" x14ac:dyDescent="0.2">
      <c r="E213" s="11"/>
      <c r="K213" s="23"/>
      <c r="L213" s="23"/>
      <c r="M213" s="23"/>
      <c r="N213" s="23"/>
      <c r="O213" s="210"/>
      <c r="P213" s="23"/>
      <c r="Q213" s="23"/>
      <c r="R213" s="23"/>
      <c r="S213" s="23"/>
      <c r="T213" s="23"/>
      <c r="U213" s="23"/>
      <c r="V213" s="23"/>
      <c r="W213" s="23"/>
      <c r="X213" s="23"/>
      <c r="Y213" s="23"/>
      <c r="Z213" s="23"/>
      <c r="AA213" s="23"/>
      <c r="AB213" s="23"/>
      <c r="AC213" s="23"/>
      <c r="AD213" s="23"/>
      <c r="AE213" s="23"/>
      <c r="AF213" s="23"/>
      <c r="AG213" s="23"/>
      <c r="AH213" s="23"/>
    </row>
    <row r="214" spans="5:34" x14ac:dyDescent="0.2">
      <c r="E214" s="11"/>
      <c r="K214" s="23"/>
      <c r="L214" s="23"/>
      <c r="M214" s="23"/>
      <c r="N214" s="23"/>
      <c r="O214" s="210"/>
      <c r="P214" s="23"/>
      <c r="Q214" s="23"/>
      <c r="R214" s="23"/>
      <c r="S214" s="23"/>
      <c r="T214" s="23"/>
      <c r="U214" s="23"/>
      <c r="V214" s="23"/>
      <c r="W214" s="23"/>
      <c r="X214" s="23"/>
      <c r="Y214" s="23"/>
      <c r="Z214" s="23"/>
      <c r="AA214" s="23"/>
      <c r="AB214" s="23"/>
      <c r="AC214" s="23"/>
      <c r="AD214" s="23"/>
      <c r="AE214" s="23"/>
      <c r="AF214" s="23"/>
      <c r="AG214" s="23"/>
      <c r="AH214" s="23"/>
    </row>
    <row r="215" spans="5:34" x14ac:dyDescent="0.2">
      <c r="E215" s="11"/>
      <c r="K215" s="23"/>
      <c r="L215" s="23"/>
      <c r="M215" s="23"/>
      <c r="N215" s="23"/>
      <c r="O215" s="210"/>
      <c r="P215" s="23"/>
      <c r="Q215" s="23"/>
      <c r="R215" s="23"/>
      <c r="S215" s="23"/>
      <c r="T215" s="23"/>
      <c r="U215" s="23"/>
      <c r="V215" s="23"/>
      <c r="W215" s="23"/>
      <c r="X215" s="23"/>
      <c r="Y215" s="23"/>
      <c r="Z215" s="23"/>
      <c r="AA215" s="23"/>
      <c r="AB215" s="23"/>
      <c r="AC215" s="23"/>
      <c r="AD215" s="23"/>
      <c r="AE215" s="23"/>
      <c r="AF215" s="23"/>
      <c r="AG215" s="23"/>
      <c r="AH215" s="23"/>
    </row>
    <row r="216" spans="5:34" x14ac:dyDescent="0.2">
      <c r="K216" s="23"/>
      <c r="L216" s="23"/>
      <c r="M216" s="23"/>
      <c r="N216" s="23"/>
      <c r="O216" s="210"/>
      <c r="P216" s="23"/>
      <c r="Q216" s="23"/>
      <c r="R216" s="23"/>
      <c r="S216" s="23"/>
      <c r="T216" s="23"/>
      <c r="U216" s="23"/>
      <c r="V216" s="23"/>
      <c r="W216" s="23"/>
      <c r="X216" s="23"/>
      <c r="Y216" s="23"/>
      <c r="Z216" s="23"/>
      <c r="AA216" s="23"/>
      <c r="AB216" s="23"/>
      <c r="AC216" s="23"/>
      <c r="AD216" s="23"/>
      <c r="AE216" s="23"/>
      <c r="AF216" s="23"/>
      <c r="AG216" s="23"/>
      <c r="AH216" s="23"/>
    </row>
    <row r="217" spans="5:34" x14ac:dyDescent="0.2">
      <c r="K217" s="23"/>
      <c r="L217" s="23"/>
      <c r="M217" s="23"/>
      <c r="N217" s="23"/>
      <c r="O217" s="210"/>
      <c r="P217" s="23"/>
      <c r="Q217" s="23"/>
      <c r="R217" s="23"/>
      <c r="S217" s="23"/>
      <c r="T217" s="23"/>
      <c r="U217" s="23"/>
      <c r="V217" s="23"/>
      <c r="W217" s="23"/>
      <c r="X217" s="23"/>
      <c r="Y217" s="23"/>
      <c r="Z217" s="23"/>
      <c r="AA217" s="23"/>
      <c r="AB217" s="23"/>
      <c r="AC217" s="23"/>
      <c r="AD217" s="23"/>
      <c r="AE217" s="23"/>
      <c r="AF217" s="23"/>
      <c r="AG217" s="23"/>
      <c r="AH217" s="23"/>
    </row>
    <row r="218" spans="5:34" x14ac:dyDescent="0.2">
      <c r="K218" s="23"/>
      <c r="L218" s="23"/>
      <c r="M218" s="23"/>
      <c r="N218" s="23"/>
      <c r="O218" s="210"/>
      <c r="P218" s="23"/>
      <c r="Q218" s="23"/>
      <c r="R218" s="23"/>
      <c r="S218" s="23"/>
      <c r="T218" s="23"/>
      <c r="U218" s="23"/>
      <c r="V218" s="23"/>
      <c r="W218" s="23"/>
      <c r="X218" s="23"/>
      <c r="Y218" s="23"/>
      <c r="Z218" s="23"/>
      <c r="AA218" s="23"/>
      <c r="AB218" s="23"/>
      <c r="AC218" s="23"/>
      <c r="AD218" s="23"/>
      <c r="AE218" s="23"/>
      <c r="AF218" s="23"/>
      <c r="AG218" s="23"/>
      <c r="AH218" s="23"/>
    </row>
    <row r="219" spans="5:34" x14ac:dyDescent="0.2">
      <c r="K219" s="23"/>
      <c r="L219" s="23"/>
      <c r="M219" s="23"/>
      <c r="N219" s="23"/>
      <c r="O219" s="210"/>
      <c r="P219" s="23"/>
      <c r="Q219" s="23"/>
      <c r="R219" s="23"/>
      <c r="S219" s="23"/>
      <c r="T219" s="23"/>
      <c r="U219" s="23"/>
      <c r="V219" s="23"/>
      <c r="W219" s="23"/>
      <c r="X219" s="23"/>
      <c r="Y219" s="23"/>
      <c r="Z219" s="23"/>
      <c r="AA219" s="23"/>
      <c r="AB219" s="23"/>
      <c r="AC219" s="23"/>
      <c r="AD219" s="23"/>
      <c r="AE219" s="23"/>
      <c r="AF219" s="23"/>
      <c r="AG219" s="23"/>
      <c r="AH219" s="23"/>
    </row>
    <row r="220" spans="5:34" x14ac:dyDescent="0.2">
      <c r="K220" s="23"/>
      <c r="L220" s="23"/>
      <c r="M220" s="23"/>
      <c r="N220" s="23"/>
      <c r="O220" s="210"/>
      <c r="P220" s="23"/>
      <c r="Q220" s="23"/>
      <c r="R220" s="23"/>
      <c r="S220" s="23"/>
      <c r="T220" s="23"/>
      <c r="U220" s="23"/>
      <c r="V220" s="23"/>
      <c r="W220" s="23"/>
      <c r="X220" s="23"/>
      <c r="Y220" s="23"/>
      <c r="Z220" s="23"/>
      <c r="AA220" s="23"/>
      <c r="AB220" s="23"/>
      <c r="AC220" s="23"/>
      <c r="AD220" s="23"/>
      <c r="AE220" s="23"/>
      <c r="AF220" s="23"/>
      <c r="AG220" s="23"/>
      <c r="AH220" s="23"/>
    </row>
    <row r="221" spans="5:34" x14ac:dyDescent="0.2">
      <c r="K221" s="23"/>
      <c r="L221" s="23"/>
      <c r="M221" s="23"/>
      <c r="N221" s="23"/>
      <c r="O221" s="210"/>
      <c r="P221" s="23"/>
      <c r="Q221" s="23"/>
      <c r="R221" s="23"/>
      <c r="S221" s="23"/>
      <c r="T221" s="23"/>
      <c r="U221" s="23"/>
      <c r="V221" s="23"/>
      <c r="W221" s="23"/>
      <c r="X221" s="23"/>
      <c r="Y221" s="23"/>
      <c r="Z221" s="23"/>
      <c r="AA221" s="23"/>
      <c r="AB221" s="23"/>
      <c r="AC221" s="23"/>
      <c r="AD221" s="23"/>
      <c r="AE221" s="23"/>
      <c r="AF221" s="23"/>
      <c r="AG221" s="23"/>
      <c r="AH221" s="23"/>
    </row>
    <row r="222" spans="5:34" x14ac:dyDescent="0.2">
      <c r="K222" s="23"/>
      <c r="L222" s="23"/>
      <c r="M222" s="23"/>
      <c r="N222" s="23"/>
      <c r="O222" s="210"/>
      <c r="P222" s="23"/>
      <c r="Q222" s="23"/>
      <c r="R222" s="23"/>
      <c r="S222" s="23"/>
      <c r="T222" s="23"/>
      <c r="U222" s="23"/>
      <c r="V222" s="23"/>
      <c r="W222" s="23"/>
      <c r="X222" s="23"/>
      <c r="Y222" s="23"/>
      <c r="Z222" s="23"/>
      <c r="AA222" s="23"/>
      <c r="AB222" s="23"/>
      <c r="AC222" s="23"/>
      <c r="AD222" s="23"/>
      <c r="AE222" s="23"/>
      <c r="AF222" s="23"/>
      <c r="AG222" s="23"/>
      <c r="AH222" s="23"/>
    </row>
    <row r="223" spans="5:34" x14ac:dyDescent="0.2">
      <c r="K223" s="23"/>
      <c r="L223" s="23"/>
      <c r="M223" s="23"/>
      <c r="N223" s="23"/>
      <c r="O223" s="210"/>
      <c r="P223" s="23"/>
      <c r="Q223" s="23"/>
      <c r="R223" s="23"/>
      <c r="S223" s="23"/>
      <c r="T223" s="23"/>
      <c r="U223" s="23"/>
      <c r="V223" s="23"/>
      <c r="W223" s="23"/>
      <c r="X223" s="23"/>
      <c r="Y223" s="23"/>
      <c r="Z223" s="23"/>
      <c r="AA223" s="23"/>
      <c r="AB223" s="23"/>
      <c r="AC223" s="23"/>
      <c r="AD223" s="23"/>
      <c r="AE223" s="23"/>
      <c r="AF223" s="23"/>
      <c r="AG223" s="23"/>
      <c r="AH223" s="23"/>
    </row>
    <row r="224" spans="5:34" x14ac:dyDescent="0.2">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row>
    <row r="225" spans="11:34" x14ac:dyDescent="0.2">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row>
    <row r="226" spans="11:34" x14ac:dyDescent="0.2">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spans="11:34" x14ac:dyDescent="0.2">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row>
    <row r="228" spans="11:34" x14ac:dyDescent="0.2">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row>
    <row r="229" spans="11:34" x14ac:dyDescent="0.2">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row>
    <row r="230" spans="11:34" x14ac:dyDescent="0.2">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row>
    <row r="231" spans="11:34" x14ac:dyDescent="0.2">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row>
    <row r="232" spans="11:34" x14ac:dyDescent="0.2">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row>
    <row r="233" spans="11:34" x14ac:dyDescent="0.2">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row>
    <row r="234" spans="11:34" x14ac:dyDescent="0.2">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row>
    <row r="235" spans="11:34" x14ac:dyDescent="0.2">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row>
    <row r="236" spans="11:34" x14ac:dyDescent="0.2">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row>
    <row r="237" spans="11:34" x14ac:dyDescent="0.2">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row>
    <row r="238" spans="11:34" x14ac:dyDescent="0.2">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row>
    <row r="239" spans="11:34" x14ac:dyDescent="0.2">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row>
    <row r="240" spans="11:34" x14ac:dyDescent="0.2">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row>
    <row r="241" spans="11:34" x14ac:dyDescent="0.2">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row>
    <row r="242" spans="11:34" x14ac:dyDescent="0.2">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row>
    <row r="243" spans="11:34" x14ac:dyDescent="0.2">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row>
    <row r="244" spans="11:34" x14ac:dyDescent="0.2">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row>
    <row r="245" spans="11:34" x14ac:dyDescent="0.2">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row>
    <row r="246" spans="11:34" x14ac:dyDescent="0.2">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row>
    <row r="247" spans="11:34" x14ac:dyDescent="0.2">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row>
    <row r="248" spans="11:34" x14ac:dyDescent="0.2">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row>
    <row r="249" spans="11:34" x14ac:dyDescent="0.2">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row>
    <row r="250" spans="11:34" x14ac:dyDescent="0.2">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row>
    <row r="251" spans="11:34" x14ac:dyDescent="0.2">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row>
    <row r="252" spans="11:34" x14ac:dyDescent="0.2">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row>
    <row r="253" spans="11:34" x14ac:dyDescent="0.2">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row>
    <row r="254" spans="11:34" x14ac:dyDescent="0.2">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row>
    <row r="255" spans="11:34" x14ac:dyDescent="0.2">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row>
    <row r="256" spans="11:34" x14ac:dyDescent="0.2">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row>
    <row r="257" spans="11:34" x14ac:dyDescent="0.2">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row>
    <row r="258" spans="11:34" x14ac:dyDescent="0.2">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row>
    <row r="259" spans="11:34" x14ac:dyDescent="0.2">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row>
    <row r="260" spans="11:34" x14ac:dyDescent="0.2">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row>
    <row r="261" spans="11:34" x14ac:dyDescent="0.2">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row>
    <row r="262" spans="11:34" x14ac:dyDescent="0.2">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row>
    <row r="263" spans="11:34" x14ac:dyDescent="0.2">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row>
    <row r="264" spans="11:34" x14ac:dyDescent="0.2">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row>
    <row r="265" spans="11:34" x14ac:dyDescent="0.2">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row>
    <row r="266" spans="11:34" x14ac:dyDescent="0.2">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row>
    <row r="267" spans="11:34" x14ac:dyDescent="0.2">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row>
    <row r="268" spans="11:34" x14ac:dyDescent="0.2">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row>
    <row r="269" spans="11:34" x14ac:dyDescent="0.2">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row>
    <row r="270" spans="11:34" x14ac:dyDescent="0.2">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row>
    <row r="271" spans="11:34" x14ac:dyDescent="0.2">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row>
    <row r="272" spans="11:34" x14ac:dyDescent="0.2">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row>
    <row r="273" spans="11:34" x14ac:dyDescent="0.2">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row>
    <row r="274" spans="11:34" x14ac:dyDescent="0.2">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row>
    <row r="275" spans="11:34" x14ac:dyDescent="0.2">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row>
    <row r="276" spans="11:34" x14ac:dyDescent="0.2">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row>
    <row r="277" spans="11:34" x14ac:dyDescent="0.2">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row>
    <row r="278" spans="11:34" x14ac:dyDescent="0.2">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row>
    <row r="279" spans="11:34" x14ac:dyDescent="0.2">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row>
    <row r="280" spans="11:34" x14ac:dyDescent="0.2">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row>
    <row r="281" spans="11:34" x14ac:dyDescent="0.2">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row>
    <row r="282" spans="11:34" x14ac:dyDescent="0.2">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row>
    <row r="283" spans="11:34" x14ac:dyDescent="0.2">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row>
    <row r="284" spans="11:34" x14ac:dyDescent="0.2">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row>
    <row r="285" spans="11:34" x14ac:dyDescent="0.2">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row>
    <row r="286" spans="11:34" x14ac:dyDescent="0.2">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row>
    <row r="287" spans="11:34" x14ac:dyDescent="0.2">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row>
    <row r="288" spans="11:34" x14ac:dyDescent="0.2">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row>
    <row r="289" spans="11:34" x14ac:dyDescent="0.2">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row>
    <row r="290" spans="11:34" x14ac:dyDescent="0.2">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row>
    <row r="291" spans="11:34" x14ac:dyDescent="0.2">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row>
    <row r="292" spans="11:34" x14ac:dyDescent="0.2">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row>
    <row r="293" spans="11:34" x14ac:dyDescent="0.2">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row>
    <row r="294" spans="11:34" x14ac:dyDescent="0.2">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row>
    <row r="295" spans="11:34" x14ac:dyDescent="0.2">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row>
    <row r="296" spans="11:34" x14ac:dyDescent="0.2">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row>
    <row r="297" spans="11:34" x14ac:dyDescent="0.2">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row>
    <row r="298" spans="11:34" x14ac:dyDescent="0.2">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row>
    <row r="299" spans="11:34" x14ac:dyDescent="0.2">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row>
    <row r="300" spans="11:34" x14ac:dyDescent="0.2">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row>
    <row r="301" spans="11:34" x14ac:dyDescent="0.2">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row>
    <row r="302" spans="11:34" x14ac:dyDescent="0.2">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row>
    <row r="303" spans="11:34" x14ac:dyDescent="0.2">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row>
    <row r="304" spans="11:34" x14ac:dyDescent="0.2">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row>
    <row r="305" spans="11:34" x14ac:dyDescent="0.2">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row>
    <row r="306" spans="11:34" x14ac:dyDescent="0.2">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row>
    <row r="307" spans="11:34" x14ac:dyDescent="0.2">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row>
    <row r="308" spans="11:34" x14ac:dyDescent="0.2">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row>
    <row r="309" spans="11:34" x14ac:dyDescent="0.2">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row>
    <row r="310" spans="11:34" x14ac:dyDescent="0.2">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row>
    <row r="311" spans="11:34" x14ac:dyDescent="0.2">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row>
    <row r="312" spans="11:34" x14ac:dyDescent="0.2">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row>
    <row r="313" spans="11:34" x14ac:dyDescent="0.2">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row>
    <row r="314" spans="11:34" x14ac:dyDescent="0.2">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row>
    <row r="315" spans="11:34" x14ac:dyDescent="0.2">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row>
    <row r="316" spans="11:34" x14ac:dyDescent="0.2">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row>
    <row r="317" spans="11:34" x14ac:dyDescent="0.2">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row>
    <row r="318" spans="11:34" x14ac:dyDescent="0.2">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row>
    <row r="319" spans="11:34" x14ac:dyDescent="0.2">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row>
    <row r="320" spans="11:34" x14ac:dyDescent="0.2">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row>
    <row r="321" spans="11:34" x14ac:dyDescent="0.2">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row>
    <row r="322" spans="11:34" x14ac:dyDescent="0.2">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row>
    <row r="323" spans="11:34" x14ac:dyDescent="0.2">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row>
    <row r="324" spans="11:34" x14ac:dyDescent="0.2">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row>
    <row r="325" spans="11:34" x14ac:dyDescent="0.2">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row>
    <row r="326" spans="11:34" x14ac:dyDescent="0.2">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row>
    <row r="327" spans="11:34" x14ac:dyDescent="0.2">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row>
    <row r="328" spans="11:34" x14ac:dyDescent="0.2">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row>
    <row r="329" spans="11:34" x14ac:dyDescent="0.2">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row>
    <row r="330" spans="11:34" x14ac:dyDescent="0.2">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row>
    <row r="331" spans="11:34" x14ac:dyDescent="0.2">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row>
    <row r="332" spans="11:34" x14ac:dyDescent="0.2">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row>
    <row r="333" spans="11:34" x14ac:dyDescent="0.2">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row>
    <row r="334" spans="11:34" x14ac:dyDescent="0.2">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row>
    <row r="335" spans="11:34" x14ac:dyDescent="0.2">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row>
    <row r="336" spans="11:34" x14ac:dyDescent="0.2">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row>
    <row r="337" spans="11:34" x14ac:dyDescent="0.2">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row>
    <row r="338" spans="11:34" x14ac:dyDescent="0.2">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row>
    <row r="339" spans="11:34" x14ac:dyDescent="0.2">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row>
    <row r="340" spans="11:34" x14ac:dyDescent="0.2">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row>
    <row r="341" spans="11:34" x14ac:dyDescent="0.2">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row>
    <row r="342" spans="11:34" x14ac:dyDescent="0.2">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row>
    <row r="343" spans="11:34" x14ac:dyDescent="0.2">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row>
    <row r="344" spans="11:34" x14ac:dyDescent="0.2">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row>
    <row r="345" spans="11:34" x14ac:dyDescent="0.2">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row>
    <row r="346" spans="11:34" x14ac:dyDescent="0.2">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row>
    <row r="347" spans="11:34" x14ac:dyDescent="0.2">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row>
    <row r="348" spans="11:34" x14ac:dyDescent="0.2">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row>
    <row r="349" spans="11:34" x14ac:dyDescent="0.2">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row>
    <row r="350" spans="11:34" x14ac:dyDescent="0.2">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row>
    <row r="351" spans="11:34" x14ac:dyDescent="0.2">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row>
    <row r="352" spans="11:34" x14ac:dyDescent="0.2">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row>
    <row r="353" spans="11:34" x14ac:dyDescent="0.2">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row>
    <row r="354" spans="11:34" x14ac:dyDescent="0.2">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row>
    <row r="355" spans="11:34" x14ac:dyDescent="0.2">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row>
    <row r="356" spans="11:34" x14ac:dyDescent="0.2">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row>
    <row r="357" spans="11:34" x14ac:dyDescent="0.2">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row>
    <row r="358" spans="11:34" x14ac:dyDescent="0.2">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row>
    <row r="359" spans="11:34" x14ac:dyDescent="0.2">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row>
    <row r="360" spans="11:34" x14ac:dyDescent="0.2">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row>
    <row r="361" spans="11:34" x14ac:dyDescent="0.2">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row>
    <row r="362" spans="11:34" x14ac:dyDescent="0.2">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row>
    <row r="363" spans="11:34" x14ac:dyDescent="0.2">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row>
    <row r="364" spans="11:34" x14ac:dyDescent="0.2">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row>
    <row r="365" spans="11:34" x14ac:dyDescent="0.2">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row>
    <row r="366" spans="11:34" x14ac:dyDescent="0.2">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row>
    <row r="367" spans="11:34" x14ac:dyDescent="0.2">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row>
    <row r="368" spans="11:34" x14ac:dyDescent="0.2">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row>
    <row r="369" spans="11:34" x14ac:dyDescent="0.2">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row>
    <row r="370" spans="11:34" x14ac:dyDescent="0.2">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row>
    <row r="371" spans="11:34" x14ac:dyDescent="0.2">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row>
    <row r="372" spans="11:34" x14ac:dyDescent="0.2">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row>
    <row r="373" spans="11:34" x14ac:dyDescent="0.2">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row>
    <row r="374" spans="11:34" x14ac:dyDescent="0.2">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row>
    <row r="375" spans="11:34" x14ac:dyDescent="0.2">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row>
    <row r="376" spans="11:34" x14ac:dyDescent="0.2">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row>
    <row r="377" spans="11:34" x14ac:dyDescent="0.2">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row>
    <row r="378" spans="11:34" x14ac:dyDescent="0.2">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row>
    <row r="379" spans="11:34" x14ac:dyDescent="0.2">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row>
    <row r="380" spans="11:34" x14ac:dyDescent="0.2">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row>
    <row r="381" spans="11:34" x14ac:dyDescent="0.2">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row>
    <row r="382" spans="11:34" x14ac:dyDescent="0.2">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row>
    <row r="383" spans="11:34" x14ac:dyDescent="0.2">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row>
    <row r="384" spans="11:34" x14ac:dyDescent="0.2">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row>
    <row r="385" spans="11:34" x14ac:dyDescent="0.2">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row>
    <row r="386" spans="11:34" x14ac:dyDescent="0.2">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row>
    <row r="387" spans="11:34" x14ac:dyDescent="0.2">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row>
    <row r="388" spans="11:34" x14ac:dyDescent="0.2">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row>
    <row r="389" spans="11:34" x14ac:dyDescent="0.2">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row>
    <row r="390" spans="11:34" x14ac:dyDescent="0.2">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row>
    <row r="391" spans="11:34" x14ac:dyDescent="0.2">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row>
    <row r="392" spans="11:34" x14ac:dyDescent="0.2">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row>
    <row r="393" spans="11:34" x14ac:dyDescent="0.2">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row>
    <row r="394" spans="11:34" x14ac:dyDescent="0.2">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row>
    <row r="395" spans="11:34" x14ac:dyDescent="0.2">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row>
    <row r="396" spans="11:34" x14ac:dyDescent="0.2">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row>
    <row r="397" spans="11:34" x14ac:dyDescent="0.2">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row>
    <row r="398" spans="11:34" x14ac:dyDescent="0.2">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row>
    <row r="399" spans="11:34" x14ac:dyDescent="0.2">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row>
    <row r="400" spans="11:34" x14ac:dyDescent="0.2">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row>
    <row r="401" spans="11:34" x14ac:dyDescent="0.2">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row>
    <row r="402" spans="11:34" x14ac:dyDescent="0.2">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row>
    <row r="403" spans="11:34" x14ac:dyDescent="0.2">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row>
    <row r="404" spans="11:34" x14ac:dyDescent="0.2">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row>
    <row r="405" spans="11:34" x14ac:dyDescent="0.2">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row>
    <row r="406" spans="11:34" x14ac:dyDescent="0.2">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row>
    <row r="407" spans="11:34" x14ac:dyDescent="0.2">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row>
    <row r="408" spans="11:34" x14ac:dyDescent="0.2">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row>
    <row r="409" spans="11:34" x14ac:dyDescent="0.2">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row>
    <row r="410" spans="11:34" x14ac:dyDescent="0.2">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row>
    <row r="411" spans="11:34" x14ac:dyDescent="0.2">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row>
    <row r="412" spans="11:34" x14ac:dyDescent="0.2">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row>
    <row r="413" spans="11:34" x14ac:dyDescent="0.2">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row>
    <row r="414" spans="11:34" x14ac:dyDescent="0.2">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row>
    <row r="415" spans="11:34" x14ac:dyDescent="0.2">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row>
    <row r="416" spans="11:34" x14ac:dyDescent="0.2">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row>
    <row r="417" spans="11:34" x14ac:dyDescent="0.2">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row>
    <row r="418" spans="11:34" x14ac:dyDescent="0.2">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row>
    <row r="419" spans="11:34" x14ac:dyDescent="0.2">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row>
    <row r="420" spans="11:34" x14ac:dyDescent="0.2">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row>
    <row r="421" spans="11:34" x14ac:dyDescent="0.2">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row>
    <row r="422" spans="11:34" x14ac:dyDescent="0.2">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row>
    <row r="423" spans="11:34" x14ac:dyDescent="0.2">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row>
    <row r="424" spans="11:34" x14ac:dyDescent="0.2">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row>
    <row r="425" spans="11:34" x14ac:dyDescent="0.2">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row>
    <row r="426" spans="11:34" x14ac:dyDescent="0.2">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row>
    <row r="427" spans="11:34" x14ac:dyDescent="0.2">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row>
    <row r="428" spans="11:34" x14ac:dyDescent="0.2">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row>
    <row r="429" spans="11:34" x14ac:dyDescent="0.2">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row>
    <row r="430" spans="11:34" x14ac:dyDescent="0.2">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row>
    <row r="431" spans="11:34" x14ac:dyDescent="0.2">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row>
    <row r="432" spans="11:34" x14ac:dyDescent="0.2">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row>
    <row r="433" spans="11:34" x14ac:dyDescent="0.2">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row>
    <row r="434" spans="11:34" x14ac:dyDescent="0.2">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row>
    <row r="435" spans="11:34" x14ac:dyDescent="0.2">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row>
    <row r="436" spans="11:34" x14ac:dyDescent="0.2">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row>
    <row r="437" spans="11:34" x14ac:dyDescent="0.2">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row>
    <row r="438" spans="11:34" x14ac:dyDescent="0.2">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row>
    <row r="439" spans="11:34" x14ac:dyDescent="0.2">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row>
    <row r="440" spans="11:34" x14ac:dyDescent="0.2">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spans="11:34" x14ac:dyDescent="0.2">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spans="11:34" x14ac:dyDescent="0.2">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spans="11:34" x14ac:dyDescent="0.2">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spans="11:34" x14ac:dyDescent="0.2">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spans="11:34" x14ac:dyDescent="0.2">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spans="11:34" x14ac:dyDescent="0.2">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spans="11:34" x14ac:dyDescent="0.2">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row>
    <row r="448" spans="11:34" x14ac:dyDescent="0.2">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row>
    <row r="449" spans="11:34" x14ac:dyDescent="0.2">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row>
    <row r="450" spans="11:34" x14ac:dyDescent="0.2">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row>
    <row r="451" spans="11:34" x14ac:dyDescent="0.2">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row>
    <row r="452" spans="11:34" x14ac:dyDescent="0.2">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row>
    <row r="453" spans="11:34" x14ac:dyDescent="0.2">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row>
    <row r="454" spans="11:34" x14ac:dyDescent="0.2">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row>
    <row r="455" spans="11:34" x14ac:dyDescent="0.2">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row>
    <row r="456" spans="11:34" x14ac:dyDescent="0.2">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row>
    <row r="457" spans="11:34" x14ac:dyDescent="0.2">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row>
    <row r="458" spans="11:34" x14ac:dyDescent="0.2">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row>
    <row r="459" spans="11:34" x14ac:dyDescent="0.2">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row>
    <row r="460" spans="11:34" x14ac:dyDescent="0.2">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row>
    <row r="461" spans="11:34" x14ac:dyDescent="0.2">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row>
    <row r="462" spans="11:34" x14ac:dyDescent="0.2">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row>
    <row r="463" spans="11:34" x14ac:dyDescent="0.2">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row>
    <row r="464" spans="11:34" x14ac:dyDescent="0.2">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spans="11:34" x14ac:dyDescent="0.2">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row>
    <row r="466" spans="11:34" x14ac:dyDescent="0.2">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row>
    <row r="467" spans="11:34" x14ac:dyDescent="0.2">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row>
    <row r="468" spans="11:34" x14ac:dyDescent="0.2">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row>
    <row r="469" spans="11:34" x14ac:dyDescent="0.2">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row>
    <row r="470" spans="11:34" x14ac:dyDescent="0.2">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row>
    <row r="471" spans="11:34" x14ac:dyDescent="0.2">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row>
    <row r="472" spans="11:34" x14ac:dyDescent="0.2">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row>
    <row r="473" spans="11:34" x14ac:dyDescent="0.2">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row>
    <row r="474" spans="11:34" x14ac:dyDescent="0.2">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row>
    <row r="475" spans="11:34" x14ac:dyDescent="0.2">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row>
    <row r="476" spans="11:34" x14ac:dyDescent="0.2">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row>
    <row r="477" spans="11:34" x14ac:dyDescent="0.2">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row>
    <row r="478" spans="11:34" x14ac:dyDescent="0.2">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row>
    <row r="479" spans="11:34" x14ac:dyDescent="0.2">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row>
    <row r="480" spans="11:34" x14ac:dyDescent="0.2">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row>
    <row r="481" spans="11:34" x14ac:dyDescent="0.2">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row>
    <row r="482" spans="11:34" x14ac:dyDescent="0.2">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row>
    <row r="483" spans="11:34" x14ac:dyDescent="0.2">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row>
    <row r="484" spans="11:34" x14ac:dyDescent="0.2">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row>
    <row r="485" spans="11:34" x14ac:dyDescent="0.2">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row>
    <row r="486" spans="11:34" x14ac:dyDescent="0.2">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row>
    <row r="487" spans="11:34" x14ac:dyDescent="0.2">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row>
    <row r="488" spans="11:34" x14ac:dyDescent="0.2">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row>
    <row r="489" spans="11:34" x14ac:dyDescent="0.2">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row>
    <row r="490" spans="11:34" x14ac:dyDescent="0.2">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row>
    <row r="491" spans="11:34" x14ac:dyDescent="0.2">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row>
    <row r="492" spans="11:34" x14ac:dyDescent="0.2">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row>
    <row r="493" spans="11:34" x14ac:dyDescent="0.2">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row>
    <row r="494" spans="11:34" x14ac:dyDescent="0.2">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row>
    <row r="495" spans="11:34" x14ac:dyDescent="0.2">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row>
    <row r="496" spans="11:34" x14ac:dyDescent="0.2">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row>
    <row r="497" spans="11:34" x14ac:dyDescent="0.2">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row>
    <row r="498" spans="11:34" x14ac:dyDescent="0.2">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row>
    <row r="499" spans="11:34" x14ac:dyDescent="0.2">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row>
    <row r="500" spans="11:34" x14ac:dyDescent="0.2">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row>
    <row r="501" spans="11:34" x14ac:dyDescent="0.2">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row>
    <row r="502" spans="11:34" x14ac:dyDescent="0.2">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row>
    <row r="503" spans="11:34" x14ac:dyDescent="0.2">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row>
    <row r="504" spans="11:34" x14ac:dyDescent="0.2">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row>
    <row r="505" spans="11:34" x14ac:dyDescent="0.2">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row>
    <row r="506" spans="11:34" x14ac:dyDescent="0.2">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row>
    <row r="507" spans="11:34" x14ac:dyDescent="0.2">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row>
    <row r="508" spans="11:34" x14ac:dyDescent="0.2">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row>
    <row r="509" spans="11:34" x14ac:dyDescent="0.2">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row>
    <row r="510" spans="11:34" x14ac:dyDescent="0.2">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row>
    <row r="511" spans="11:34" x14ac:dyDescent="0.2">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row>
    <row r="512" spans="11:34" x14ac:dyDescent="0.2">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row>
    <row r="513" spans="11:34" x14ac:dyDescent="0.2">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row>
    <row r="514" spans="11:34" x14ac:dyDescent="0.2">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row>
    <row r="515" spans="11:34" x14ac:dyDescent="0.2">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row>
    <row r="516" spans="11:34" x14ac:dyDescent="0.2">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row>
    <row r="517" spans="11:34" x14ac:dyDescent="0.2">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row>
    <row r="518" spans="11:34" x14ac:dyDescent="0.2">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row>
    <row r="519" spans="11:34" x14ac:dyDescent="0.2">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row>
    <row r="520" spans="11:34" x14ac:dyDescent="0.2">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row>
    <row r="521" spans="11:34" x14ac:dyDescent="0.2">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row>
    <row r="522" spans="11:34" x14ac:dyDescent="0.2">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row>
    <row r="523" spans="11:34" x14ac:dyDescent="0.2">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row>
    <row r="524" spans="11:34" x14ac:dyDescent="0.2">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row>
    <row r="525" spans="11:34" x14ac:dyDescent="0.2">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row>
    <row r="526" spans="11:34" x14ac:dyDescent="0.2">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row>
    <row r="527" spans="11:34" x14ac:dyDescent="0.2">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row>
    <row r="528" spans="11:34" x14ac:dyDescent="0.2">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row>
    <row r="529" spans="11:34" x14ac:dyDescent="0.2">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row>
    <row r="530" spans="11:34" x14ac:dyDescent="0.2">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row>
    <row r="531" spans="11:34" x14ac:dyDescent="0.2">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row>
    <row r="532" spans="11:34" x14ac:dyDescent="0.2">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row>
    <row r="533" spans="11:34" x14ac:dyDescent="0.2">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row>
    <row r="534" spans="11:34" x14ac:dyDescent="0.2">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row>
    <row r="535" spans="11:34" x14ac:dyDescent="0.2">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row>
    <row r="536" spans="11:34" x14ac:dyDescent="0.2">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row>
    <row r="537" spans="11:34" x14ac:dyDescent="0.2">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row>
    <row r="538" spans="11:34" x14ac:dyDescent="0.2">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row>
    <row r="539" spans="11:34" x14ac:dyDescent="0.2">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row>
    <row r="540" spans="11:34" x14ac:dyDescent="0.2">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row>
    <row r="541" spans="11:34" x14ac:dyDescent="0.2">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row>
    <row r="542" spans="11:34" x14ac:dyDescent="0.2">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row>
    <row r="543" spans="11:34" x14ac:dyDescent="0.2">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row>
    <row r="544" spans="11:34" x14ac:dyDescent="0.2">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row>
    <row r="545" spans="11:34" x14ac:dyDescent="0.2">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row>
    <row r="546" spans="11:34" x14ac:dyDescent="0.2">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row>
    <row r="547" spans="11:34" x14ac:dyDescent="0.2">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row>
    <row r="548" spans="11:34" x14ac:dyDescent="0.2">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row>
    <row r="549" spans="11:34" x14ac:dyDescent="0.2">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row>
    <row r="550" spans="11:34" x14ac:dyDescent="0.2">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row>
    <row r="551" spans="11:34" x14ac:dyDescent="0.2">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row>
    <row r="552" spans="11:34" x14ac:dyDescent="0.2">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row>
    <row r="553" spans="11:34" x14ac:dyDescent="0.2">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row>
    <row r="554" spans="11:34" x14ac:dyDescent="0.2">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row>
    <row r="555" spans="11:34" x14ac:dyDescent="0.2">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row>
    <row r="556" spans="11:34" x14ac:dyDescent="0.2">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row>
    <row r="557" spans="11:34" x14ac:dyDescent="0.2">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row>
    <row r="558" spans="11:34" x14ac:dyDescent="0.2">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row>
    <row r="559" spans="11:34" x14ac:dyDescent="0.2">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row>
    <row r="560" spans="11:34" x14ac:dyDescent="0.2">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row>
    <row r="561" spans="11:34" x14ac:dyDescent="0.2">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row>
    <row r="562" spans="11:34" x14ac:dyDescent="0.2">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row>
    <row r="563" spans="11:34" x14ac:dyDescent="0.2">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row>
    <row r="564" spans="11:34" x14ac:dyDescent="0.2">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row>
    <row r="565" spans="11:34" x14ac:dyDescent="0.2">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row>
    <row r="566" spans="11:34" x14ac:dyDescent="0.2">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row>
    <row r="567" spans="11:34" x14ac:dyDescent="0.2">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row>
    <row r="568" spans="11:34" x14ac:dyDescent="0.2">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row>
    <row r="569" spans="11:34" x14ac:dyDescent="0.2">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row>
    <row r="570" spans="11:34" x14ac:dyDescent="0.2">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row>
    <row r="571" spans="11:34" x14ac:dyDescent="0.2">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row>
    <row r="572" spans="11:34" x14ac:dyDescent="0.2">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row>
    <row r="573" spans="11:34" x14ac:dyDescent="0.2">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row>
    <row r="574" spans="11:34" x14ac:dyDescent="0.2">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row>
    <row r="575" spans="11:34" x14ac:dyDescent="0.2">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row>
    <row r="576" spans="11:34" x14ac:dyDescent="0.2">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row>
    <row r="577" spans="11:34" x14ac:dyDescent="0.2">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row>
    <row r="578" spans="11:34" x14ac:dyDescent="0.2">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row>
    <row r="579" spans="11:34" x14ac:dyDescent="0.2">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row>
    <row r="580" spans="11:34" x14ac:dyDescent="0.2">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row>
    <row r="581" spans="11:34" x14ac:dyDescent="0.2">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row>
    <row r="582" spans="11:34" x14ac:dyDescent="0.2">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row>
    <row r="583" spans="11:34" x14ac:dyDescent="0.2">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row>
    <row r="584" spans="11:34" x14ac:dyDescent="0.2">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row>
    <row r="585" spans="11:34" x14ac:dyDescent="0.2">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row>
    <row r="586" spans="11:34" x14ac:dyDescent="0.2">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row>
    <row r="587" spans="11:34" x14ac:dyDescent="0.2">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row>
    <row r="588" spans="11:34" x14ac:dyDescent="0.2">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row>
    <row r="589" spans="11:34" x14ac:dyDescent="0.2">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row>
    <row r="590" spans="11:34" x14ac:dyDescent="0.2">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row>
    <row r="591" spans="11:34" x14ac:dyDescent="0.2">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row>
    <row r="592" spans="11:34" x14ac:dyDescent="0.2">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row>
    <row r="593" spans="11:34" x14ac:dyDescent="0.2">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row>
    <row r="594" spans="11:34" x14ac:dyDescent="0.2">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row>
    <row r="595" spans="11:34" x14ac:dyDescent="0.2">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row>
    <row r="596" spans="11:34" x14ac:dyDescent="0.2">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row>
    <row r="597" spans="11:34" x14ac:dyDescent="0.2">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row>
    <row r="598" spans="11:34" x14ac:dyDescent="0.2">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row>
    <row r="599" spans="11:34" x14ac:dyDescent="0.2">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row>
    <row r="600" spans="11:34" x14ac:dyDescent="0.2">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row>
    <row r="601" spans="11:34" x14ac:dyDescent="0.2">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row>
    <row r="602" spans="11:34" x14ac:dyDescent="0.2">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row>
    <row r="603" spans="11:34" x14ac:dyDescent="0.2">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row>
    <row r="604" spans="11:34" x14ac:dyDescent="0.2">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row>
    <row r="605" spans="11:34" x14ac:dyDescent="0.2">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row>
    <row r="606" spans="11:34" x14ac:dyDescent="0.2">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row>
    <row r="607" spans="11:34" x14ac:dyDescent="0.2">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row>
    <row r="608" spans="11:34" x14ac:dyDescent="0.2">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row>
    <row r="609" spans="11:34" x14ac:dyDescent="0.2">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row>
    <row r="610" spans="11:34" x14ac:dyDescent="0.2">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row>
    <row r="611" spans="11:34" x14ac:dyDescent="0.2">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row>
    <row r="612" spans="11:34" x14ac:dyDescent="0.2">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row>
    <row r="613" spans="11:34" x14ac:dyDescent="0.2">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row>
    <row r="614" spans="11:34" x14ac:dyDescent="0.2">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row>
    <row r="615" spans="11:34" x14ac:dyDescent="0.2">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row>
    <row r="616" spans="11:34" x14ac:dyDescent="0.2">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row>
    <row r="617" spans="11:34" x14ac:dyDescent="0.2">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row>
    <row r="618" spans="11:34" x14ac:dyDescent="0.2">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row>
    <row r="619" spans="11:34" x14ac:dyDescent="0.2">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row>
    <row r="620" spans="11:34" x14ac:dyDescent="0.2">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row>
    <row r="621" spans="11:34" x14ac:dyDescent="0.2">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row>
    <row r="622" spans="11:34" x14ac:dyDescent="0.2">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row>
    <row r="623" spans="11:34" x14ac:dyDescent="0.2">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row>
    <row r="624" spans="11:34" x14ac:dyDescent="0.2">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row>
    <row r="625" spans="11:34" x14ac:dyDescent="0.2">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row>
    <row r="626" spans="11:34" x14ac:dyDescent="0.2">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row>
    <row r="627" spans="11:34" x14ac:dyDescent="0.2">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row>
    <row r="628" spans="11:34" x14ac:dyDescent="0.2">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row>
    <row r="629" spans="11:34" x14ac:dyDescent="0.2">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row>
    <row r="630" spans="11:34" x14ac:dyDescent="0.2">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row>
    <row r="631" spans="11:34" x14ac:dyDescent="0.2">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row>
    <row r="632" spans="11:34" x14ac:dyDescent="0.2">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row>
    <row r="633" spans="11:34" x14ac:dyDescent="0.2">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row>
    <row r="634" spans="11:34" x14ac:dyDescent="0.2">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row>
    <row r="635" spans="11:34" x14ac:dyDescent="0.2">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row>
    <row r="636" spans="11:34" x14ac:dyDescent="0.2">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row>
    <row r="637" spans="11:34" x14ac:dyDescent="0.2">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row>
    <row r="638" spans="11:34" x14ac:dyDescent="0.2">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row>
    <row r="639" spans="11:34" x14ac:dyDescent="0.2">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row>
    <row r="640" spans="11:34" x14ac:dyDescent="0.2">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row>
    <row r="641" spans="11:34" x14ac:dyDescent="0.2">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row>
    <row r="642" spans="11:34" x14ac:dyDescent="0.2">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row>
    <row r="643" spans="11:34" x14ac:dyDescent="0.2">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row>
    <row r="644" spans="11:34" x14ac:dyDescent="0.2">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row>
    <row r="645" spans="11:34" x14ac:dyDescent="0.2">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row>
    <row r="646" spans="11:34" x14ac:dyDescent="0.2">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row>
    <row r="647" spans="11:34" x14ac:dyDescent="0.2">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row>
    <row r="648" spans="11:34" x14ac:dyDescent="0.2">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row>
    <row r="649" spans="11:34" x14ac:dyDescent="0.2">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row>
    <row r="650" spans="11:34" x14ac:dyDescent="0.2">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row>
    <row r="651" spans="11:34" x14ac:dyDescent="0.2">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row>
    <row r="652" spans="11:34" x14ac:dyDescent="0.2">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row>
    <row r="653" spans="11:34" x14ac:dyDescent="0.2">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row>
    <row r="654" spans="11:34" x14ac:dyDescent="0.2">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row>
    <row r="655" spans="11:34" x14ac:dyDescent="0.2">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row>
    <row r="656" spans="11:34" x14ac:dyDescent="0.2">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row>
    <row r="657" spans="11:34" x14ac:dyDescent="0.2">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row>
    <row r="658" spans="11:34" x14ac:dyDescent="0.2">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row>
    <row r="659" spans="11:34" x14ac:dyDescent="0.2">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row>
    <row r="660" spans="11:34" x14ac:dyDescent="0.2">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row>
    <row r="661" spans="11:34" x14ac:dyDescent="0.2">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row>
    <row r="662" spans="11:34" x14ac:dyDescent="0.2">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row>
    <row r="663" spans="11:34" x14ac:dyDescent="0.2">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row>
    <row r="664" spans="11:34" x14ac:dyDescent="0.2">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row>
    <row r="665" spans="11:34" x14ac:dyDescent="0.2">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row>
    <row r="666" spans="11:34" x14ac:dyDescent="0.2">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row>
    <row r="667" spans="11:34" x14ac:dyDescent="0.2">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row>
    <row r="668" spans="11:34" x14ac:dyDescent="0.2">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row>
    <row r="669" spans="11:34" x14ac:dyDescent="0.2">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row>
    <row r="670" spans="11:34" x14ac:dyDescent="0.2">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row>
    <row r="671" spans="11:34" x14ac:dyDescent="0.2">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row>
    <row r="672" spans="11:34" x14ac:dyDescent="0.2">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row>
    <row r="673" spans="11:34" x14ac:dyDescent="0.2">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row>
    <row r="674" spans="11:34" x14ac:dyDescent="0.2">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row>
    <row r="675" spans="11:34" x14ac:dyDescent="0.2">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row>
    <row r="676" spans="11:34" x14ac:dyDescent="0.2">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row>
    <row r="677" spans="11:34" x14ac:dyDescent="0.2">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row>
    <row r="678" spans="11:34" x14ac:dyDescent="0.2">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row>
    <row r="679" spans="11:34" x14ac:dyDescent="0.2">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row>
    <row r="680" spans="11:34" x14ac:dyDescent="0.2">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row>
    <row r="681" spans="11:34" x14ac:dyDescent="0.2">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row>
    <row r="682" spans="11:34" x14ac:dyDescent="0.2">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row>
    <row r="683" spans="11:34" x14ac:dyDescent="0.2">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row>
    <row r="684" spans="11:34" x14ac:dyDescent="0.2">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row>
    <row r="685" spans="11:34" x14ac:dyDescent="0.2">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row>
    <row r="686" spans="11:34" x14ac:dyDescent="0.2">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row>
    <row r="687" spans="11:34" x14ac:dyDescent="0.2">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row>
    <row r="688" spans="11:34" x14ac:dyDescent="0.2">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row>
    <row r="689" spans="11:34" x14ac:dyDescent="0.2">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row>
    <row r="690" spans="11:34" x14ac:dyDescent="0.2">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row>
    <row r="691" spans="11:34" x14ac:dyDescent="0.2">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row>
    <row r="692" spans="11:34" x14ac:dyDescent="0.2">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row>
    <row r="693" spans="11:34" x14ac:dyDescent="0.2">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row>
    <row r="694" spans="11:34" x14ac:dyDescent="0.2">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row>
    <row r="695" spans="11:34" x14ac:dyDescent="0.2">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row>
    <row r="696" spans="11:34" x14ac:dyDescent="0.2">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row>
    <row r="697" spans="11:34" x14ac:dyDescent="0.2">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row>
    <row r="698" spans="11:34" x14ac:dyDescent="0.2">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row>
    <row r="699" spans="11:34" x14ac:dyDescent="0.2">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row>
    <row r="700" spans="11:34" x14ac:dyDescent="0.2">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row>
    <row r="701" spans="11:34" x14ac:dyDescent="0.2">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row>
    <row r="702" spans="11:34" x14ac:dyDescent="0.2">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row>
    <row r="703" spans="11:34" x14ac:dyDescent="0.2">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row>
    <row r="704" spans="11:34" x14ac:dyDescent="0.2">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row>
    <row r="705" spans="11:34" x14ac:dyDescent="0.2">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row>
    <row r="706" spans="11:34" x14ac:dyDescent="0.2">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row>
    <row r="707" spans="11:34" x14ac:dyDescent="0.2">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row>
    <row r="708" spans="11:34" x14ac:dyDescent="0.2">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row>
    <row r="709" spans="11:34" x14ac:dyDescent="0.2">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row>
    <row r="710" spans="11:34" x14ac:dyDescent="0.2">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row>
    <row r="711" spans="11:34" x14ac:dyDescent="0.2">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row>
    <row r="712" spans="11:34" x14ac:dyDescent="0.2">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row>
    <row r="713" spans="11:34" x14ac:dyDescent="0.2">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row>
    <row r="714" spans="11:34" x14ac:dyDescent="0.2">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row>
    <row r="715" spans="11:34" x14ac:dyDescent="0.2">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row>
    <row r="716" spans="11:34" x14ac:dyDescent="0.2">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row>
    <row r="717" spans="11:34" x14ac:dyDescent="0.2">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row>
    <row r="718" spans="11:34" x14ac:dyDescent="0.2">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row>
    <row r="719" spans="11:34" x14ac:dyDescent="0.2">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row>
    <row r="720" spans="11:34" x14ac:dyDescent="0.2">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row>
    <row r="721" spans="11:34" x14ac:dyDescent="0.2">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row>
    <row r="722" spans="11:34" x14ac:dyDescent="0.2">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row>
    <row r="723" spans="11:34" x14ac:dyDescent="0.2">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row>
    <row r="724" spans="11:34" x14ac:dyDescent="0.2">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row>
    <row r="725" spans="11:34" x14ac:dyDescent="0.2">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row>
    <row r="726" spans="11:34" x14ac:dyDescent="0.2">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row>
    <row r="727" spans="11:34" x14ac:dyDescent="0.2">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row>
    <row r="728" spans="11:34" x14ac:dyDescent="0.2">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row>
    <row r="729" spans="11:34" x14ac:dyDescent="0.2">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row>
    <row r="730" spans="11:34" x14ac:dyDescent="0.2">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row>
    <row r="731" spans="11:34" x14ac:dyDescent="0.2">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row>
    <row r="732" spans="11:34" x14ac:dyDescent="0.2">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row>
    <row r="733" spans="11:34" x14ac:dyDescent="0.2">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row>
    <row r="734" spans="11:34" x14ac:dyDescent="0.2">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row>
    <row r="735" spans="11:34" x14ac:dyDescent="0.2">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row>
    <row r="736" spans="11:34" x14ac:dyDescent="0.2">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row>
    <row r="737" spans="11:34" x14ac:dyDescent="0.2">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row>
    <row r="738" spans="11:34" x14ac:dyDescent="0.2">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row>
    <row r="739" spans="11:34" x14ac:dyDescent="0.2">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row>
    <row r="740" spans="11:34" x14ac:dyDescent="0.2">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row>
    <row r="741" spans="11:34" x14ac:dyDescent="0.2">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row>
    <row r="742" spans="11:34" x14ac:dyDescent="0.2">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row>
    <row r="743" spans="11:34" x14ac:dyDescent="0.2">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row>
    <row r="744" spans="11:34" x14ac:dyDescent="0.2">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row>
    <row r="745" spans="11:34" x14ac:dyDescent="0.2">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row>
    <row r="746" spans="11:34" x14ac:dyDescent="0.2">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row>
    <row r="747" spans="11:34" x14ac:dyDescent="0.2">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row>
    <row r="748" spans="11:34" x14ac:dyDescent="0.2">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row>
    <row r="749" spans="11:34" x14ac:dyDescent="0.2">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row>
    <row r="750" spans="11:34" x14ac:dyDescent="0.2">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row>
    <row r="751" spans="11:34" x14ac:dyDescent="0.2">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row>
    <row r="752" spans="11:34" x14ac:dyDescent="0.2">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row>
    <row r="753" spans="11:34" x14ac:dyDescent="0.2">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row>
    <row r="754" spans="11:34" x14ac:dyDescent="0.2">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row>
    <row r="755" spans="11:34" x14ac:dyDescent="0.2">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row>
    <row r="756" spans="11:34" x14ac:dyDescent="0.2">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row>
    <row r="757" spans="11:34" x14ac:dyDescent="0.2">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row>
    <row r="758" spans="11:34" x14ac:dyDescent="0.2">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row>
    <row r="759" spans="11:34" x14ac:dyDescent="0.2">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row>
    <row r="760" spans="11:34" x14ac:dyDescent="0.2">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row>
    <row r="761" spans="11:34" x14ac:dyDescent="0.2">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row>
    <row r="762" spans="11:34" x14ac:dyDescent="0.2">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row>
    <row r="763" spans="11:34" x14ac:dyDescent="0.2">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row>
    <row r="764" spans="11:34" x14ac:dyDescent="0.2">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row>
    <row r="765" spans="11:34" x14ac:dyDescent="0.2">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row>
    <row r="766" spans="11:34" x14ac:dyDescent="0.2">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row>
    <row r="767" spans="11:34" x14ac:dyDescent="0.2">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row>
    <row r="768" spans="11:34" x14ac:dyDescent="0.2">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row>
    <row r="769" spans="11:34" x14ac:dyDescent="0.2">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row>
    <row r="770" spans="11:34" x14ac:dyDescent="0.2">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row>
    <row r="771" spans="11:34" x14ac:dyDescent="0.2">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row>
    <row r="772" spans="11:34" x14ac:dyDescent="0.2">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row>
    <row r="773" spans="11:34" x14ac:dyDescent="0.2">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row>
    <row r="774" spans="11:34" x14ac:dyDescent="0.2">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row>
    <row r="775" spans="11:34" x14ac:dyDescent="0.2">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row>
    <row r="776" spans="11:34" x14ac:dyDescent="0.2">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row>
    <row r="777" spans="11:34" x14ac:dyDescent="0.2">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row>
    <row r="778" spans="11:34" x14ac:dyDescent="0.2">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row>
    <row r="779" spans="11:34" x14ac:dyDescent="0.2">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row>
    <row r="780" spans="11:34" x14ac:dyDescent="0.2">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row>
    <row r="781" spans="11:34" x14ac:dyDescent="0.2">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row>
    <row r="782" spans="11:34" x14ac:dyDescent="0.2">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row>
    <row r="783" spans="11:34" x14ac:dyDescent="0.2">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row>
    <row r="784" spans="11:34" x14ac:dyDescent="0.2">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row>
    <row r="785" spans="11:34" x14ac:dyDescent="0.2">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row>
    <row r="786" spans="11:34" x14ac:dyDescent="0.2">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row>
    <row r="787" spans="11:34" x14ac:dyDescent="0.2">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row>
    <row r="788" spans="11:34" x14ac:dyDescent="0.2">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row>
    <row r="789" spans="11:34" x14ac:dyDescent="0.2">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row>
    <row r="790" spans="11:34" x14ac:dyDescent="0.2">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row>
    <row r="791" spans="11:34" x14ac:dyDescent="0.2">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row>
    <row r="792" spans="11:34" x14ac:dyDescent="0.2">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row>
    <row r="793" spans="11:34" x14ac:dyDescent="0.2">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row>
    <row r="794" spans="11:34" x14ac:dyDescent="0.2">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row>
    <row r="795" spans="11:34" x14ac:dyDescent="0.2">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row>
    <row r="796" spans="11:34" x14ac:dyDescent="0.2">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row>
    <row r="797" spans="11:34" x14ac:dyDescent="0.2">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row>
    <row r="798" spans="11:34" x14ac:dyDescent="0.2">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row>
    <row r="799" spans="11:34" x14ac:dyDescent="0.2">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row>
    <row r="800" spans="11:34" x14ac:dyDescent="0.2">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row>
    <row r="801" spans="11:34" x14ac:dyDescent="0.2">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row>
    <row r="802" spans="11:34" x14ac:dyDescent="0.2">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row>
    <row r="803" spans="11:34" x14ac:dyDescent="0.2">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row>
    <row r="804" spans="11:34" x14ac:dyDescent="0.2">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row>
    <row r="805" spans="11:34" x14ac:dyDescent="0.2">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row>
    <row r="806" spans="11:34" x14ac:dyDescent="0.2">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row>
    <row r="807" spans="11:34" x14ac:dyDescent="0.2">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row>
    <row r="808" spans="11:34" x14ac:dyDescent="0.2">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row>
    <row r="809" spans="11:34" x14ac:dyDescent="0.2">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row>
    <row r="810" spans="11:34" x14ac:dyDescent="0.2">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row>
    <row r="811" spans="11:34" x14ac:dyDescent="0.2">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row>
    <row r="812" spans="11:34" x14ac:dyDescent="0.2">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row>
    <row r="813" spans="11:34" x14ac:dyDescent="0.2">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row>
    <row r="814" spans="11:34" x14ac:dyDescent="0.2">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row>
    <row r="815" spans="11:34" x14ac:dyDescent="0.2">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row>
    <row r="816" spans="11:34" x14ac:dyDescent="0.2">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row>
    <row r="817" spans="11:34" x14ac:dyDescent="0.2">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row>
    <row r="818" spans="11:34" x14ac:dyDescent="0.2">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row>
    <row r="819" spans="11:34" x14ac:dyDescent="0.2">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row>
    <row r="820" spans="11:34" x14ac:dyDescent="0.2">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row>
    <row r="821" spans="11:34" x14ac:dyDescent="0.2">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row>
    <row r="822" spans="11:34" x14ac:dyDescent="0.2">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row>
    <row r="823" spans="11:34" x14ac:dyDescent="0.2">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row>
    <row r="824" spans="11:34" x14ac:dyDescent="0.2">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row>
    <row r="825" spans="11:34" x14ac:dyDescent="0.2">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row>
    <row r="826" spans="11:34" x14ac:dyDescent="0.2">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row>
    <row r="827" spans="11:34" x14ac:dyDescent="0.2">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row>
    <row r="828" spans="11:34" x14ac:dyDescent="0.2">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row>
    <row r="829" spans="11:34" x14ac:dyDescent="0.2">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row>
    <row r="830" spans="11:34" x14ac:dyDescent="0.2">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row>
    <row r="831" spans="11:34" x14ac:dyDescent="0.2">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row>
    <row r="832" spans="11:34" x14ac:dyDescent="0.2">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row>
    <row r="833" spans="11:34" x14ac:dyDescent="0.2">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row>
    <row r="834" spans="11:34" x14ac:dyDescent="0.2">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row>
    <row r="835" spans="11:34" x14ac:dyDescent="0.2">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row>
    <row r="836" spans="11:34" x14ac:dyDescent="0.2">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row>
    <row r="837" spans="11:34" x14ac:dyDescent="0.2">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row>
    <row r="838" spans="11:34" x14ac:dyDescent="0.2">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row>
    <row r="839" spans="11:34" x14ac:dyDescent="0.2">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row>
    <row r="840" spans="11:34" x14ac:dyDescent="0.2">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row>
    <row r="841" spans="11:34" x14ac:dyDescent="0.2">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row>
    <row r="842" spans="11:34" x14ac:dyDescent="0.2">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row>
    <row r="843" spans="11:34" x14ac:dyDescent="0.2">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row>
    <row r="844" spans="11:34" x14ac:dyDescent="0.2">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row>
    <row r="845" spans="11:34" x14ac:dyDescent="0.2">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row>
    <row r="846" spans="11:34" x14ac:dyDescent="0.2">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row>
    <row r="847" spans="11:34" x14ac:dyDescent="0.2">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row>
    <row r="848" spans="11:34" x14ac:dyDescent="0.2">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row>
    <row r="849" spans="11:34" x14ac:dyDescent="0.2">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row>
    <row r="850" spans="11:34" x14ac:dyDescent="0.2">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row>
    <row r="851" spans="11:34" x14ac:dyDescent="0.2">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row>
    <row r="852" spans="11:34" x14ac:dyDescent="0.2">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row>
    <row r="853" spans="11:34" x14ac:dyDescent="0.2">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row>
    <row r="854" spans="11:34" x14ac:dyDescent="0.2">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row>
    <row r="855" spans="11:34" x14ac:dyDescent="0.2">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row>
    <row r="856" spans="11:34" x14ac:dyDescent="0.2">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row>
    <row r="857" spans="11:34" x14ac:dyDescent="0.2">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row>
    <row r="858" spans="11:34" x14ac:dyDescent="0.2">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row>
    <row r="859" spans="11:34" x14ac:dyDescent="0.2">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row>
    <row r="860" spans="11:34" x14ac:dyDescent="0.2">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row>
    <row r="861" spans="11:34" x14ac:dyDescent="0.2">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row>
    <row r="862" spans="11:34" x14ac:dyDescent="0.2">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row>
    <row r="863" spans="11:34" x14ac:dyDescent="0.2">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row>
    <row r="864" spans="11:34" x14ac:dyDescent="0.2">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row>
    <row r="865" spans="11:34" x14ac:dyDescent="0.2">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row>
    <row r="866" spans="11:34" x14ac:dyDescent="0.2">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row>
    <row r="867" spans="11:34" x14ac:dyDescent="0.2">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row>
    <row r="868" spans="11:34" x14ac:dyDescent="0.2">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row>
    <row r="869" spans="11:34" x14ac:dyDescent="0.2">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row>
    <row r="870" spans="11:34" x14ac:dyDescent="0.2">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row>
    <row r="871" spans="11:34" x14ac:dyDescent="0.2">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row>
    <row r="872" spans="11:34" x14ac:dyDescent="0.2">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row>
    <row r="873" spans="11:34" x14ac:dyDescent="0.2">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row>
    <row r="874" spans="11:34" x14ac:dyDescent="0.2">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row>
  </sheetData>
  <sheetProtection algorithmName="SHA-512" hashValue="eotZzZATaY0UiptKrdDIPv96Pm875DmPg4V8i5kMc1drh3n4AVjIjPkAIRdxWJh/w4UvFCari+SrmBQPyVrvNg==" saltValue="top1mI/dTQn8WwzJIxAT4w==" spinCount="100000" sheet="1" objects="1" scenarios="1"/>
  <mergeCells count="15">
    <mergeCell ref="E1:I1"/>
    <mergeCell ref="L9:Q16"/>
    <mergeCell ref="E2:I2"/>
    <mergeCell ref="E3:I3"/>
    <mergeCell ref="E4:I4"/>
    <mergeCell ref="E5:I5"/>
    <mergeCell ref="E6:I6"/>
    <mergeCell ref="A167:E167"/>
    <mergeCell ref="B48:D48"/>
    <mergeCell ref="B56:D56"/>
    <mergeCell ref="A118:E118"/>
    <mergeCell ref="A166:E166"/>
    <mergeCell ref="A108:E108"/>
    <mergeCell ref="B102:D102"/>
    <mergeCell ref="A157:E157"/>
  </mergeCells>
  <phoneticPr fontId="12" type="noConversion"/>
  <conditionalFormatting sqref="E158:E159">
    <cfRule type="containsText" dxfId="166" priority="1" operator="containsText" text="Answer Required">
      <formula>NOT(ISERROR(SEARCH("Answer Required",E158)))</formula>
    </cfRule>
  </conditionalFormatting>
  <dataValidations xWindow="430" yWindow="798" count="13">
    <dataValidation type="whole" allowBlank="1" showInputMessage="1" showErrorMessage="1" error="Enter whole dollar amount." sqref="G149:Q149" xr:uid="{00000000-0002-0000-0500-000000000000}">
      <formula1>-10000000000000000000</formula1>
      <formula2>10000000000000000000</formula2>
    </dataValidation>
    <dataValidation allowBlank="1" showErrorMessage="1" error="_x000a_" prompt="_x000a_" sqref="O162 Q24:Q29 O24:O29 O158:O159 O155:O156 O150:O153 Q143:Q147 O136:O137 O131:O133 O115:O116 O113 O110 Q79:Q80 O36 O71:O75 O65:O69 O63 Q58 Q50 Q36 O31:O32 Q162 Q158:Q159 Q155:Q156 Q150:Q153 Q86:Q91 Q136:Q137 Q131:Q133 Q115:Q116 Q113 Q110 Q97:Q104 Q71:Q75 Q65:Q69 Q63 O50 O97:O104 O58 O86:O91 Q31:Q32 O79:O80 Q34 O34 O143:O147 Q84 O84 Q95 O95 Q40:Q43 O40:O43" xr:uid="{00000000-0002-0000-0500-000001000000}"/>
    <dataValidation type="whole" allowBlank="1" showInputMessage="1" showErrorMessage="1" error="Enter whole number." prompt="Special Items are significant transactions/events that are within the control of management and are unusual in nature or infrequent in occurrence.  Provide a description in the space provided.  The cell is formatted to wrap and heighten if necessary." sqref="G158:N158" xr:uid="{00000000-0002-0000-0500-000002000000}">
      <formula1>-10000000000000000000</formula1>
      <formula2>10000000000000000000</formula2>
    </dataValidation>
    <dataValidation type="whole" allowBlank="1" showInputMessage="1" showErrorMessage="1" error="Enter whole number." sqref="P110 P115:P116 P113 P158:P159" xr:uid="{00000000-0002-0000-0500-000003000000}">
      <formula1>-10000000000000000000</formula1>
      <formula2>10000000000000000000</formula2>
    </dataValidation>
    <dataValidation type="whole" allowBlank="1" showInputMessage="1" showErrorMessage="1" error="Enter whole number." sqref="P162 G58:N58 G50:N50 G31:N32 G34:N36 G24:N29 G40:N43" xr:uid="{00000000-0002-0000-0500-000004000000}">
      <formula1>-100000000000000000000</formula1>
      <formula2>1000000000000000000</formula2>
    </dataValidation>
    <dataValidation type="whole" allowBlank="1" showInputMessage="1" showErrorMessage="1" error="Enter whole number." sqref="G63:N63 G115:N116 G110:N110 G113:N113 G86:N91 G65:N69 G71:N75 G84:N84 G95:N95 G97:N104" xr:uid="{00000000-0002-0000-0500-000005000000}">
      <formula1>-100000000000000000000</formula1>
      <formula2>10000000000000000000</formula2>
    </dataValidation>
    <dataValidation type="whole" allowBlank="1" showInputMessage="1" showErrorMessage="1" error="Enter whole number." sqref="P155:P156 G131:N133 G143:N147 G136:N137 G155:N156 G150:N153 P86:P91 P84 P95 P97:P104" xr:uid="{00000000-0002-0000-0500-000006000000}">
      <formula1>-100000000000000000000</formula1>
      <formula2>100000000000000000</formula2>
    </dataValidation>
    <dataValidation type="whole" allowBlank="1" showInputMessage="1" showErrorMessage="1" error="Enter whole number." sqref="G162:N162 P150:P153 P131:P133 P136:P137 P143:P147" xr:uid="{00000000-0002-0000-0500-000007000000}">
      <formula1>-100000000000000000000</formula1>
      <formula2>10000000000000000</formula2>
    </dataValidation>
    <dataValidation type="whole" allowBlank="1" showInputMessage="1" showErrorMessage="1" error="Enter whole number." sqref="P36 P31:P32 P58 P24:P29 P50 P34 P40:P43" xr:uid="{00000000-0002-0000-0500-000008000000}">
      <formula1>-100000000000000000000</formula1>
      <formula2>100000000000000</formula2>
    </dataValidation>
    <dataValidation type="whole" allowBlank="1" showInputMessage="1" showErrorMessage="1" error="Enter whole number." sqref="P63 P65:P69 G79:N80 P71:P75 P79:P80" xr:uid="{00000000-0002-0000-0500-000009000000}">
      <formula1>-100000000000000000000</formula1>
      <formula2>1000000000000000</formula2>
    </dataValidation>
    <dataValidation allowBlank="1" showInputMessage="1" showErrorMessage="1" error="Enter whole number." sqref="A79:A80" xr:uid="{00000000-0002-0000-0500-00000A000000}"/>
    <dataValidation type="whole" allowBlank="1" showInputMessage="1" showErrorMessage="1" error="Enter a 3-digit agency control number." sqref="E1:I1" xr:uid="{00000000-0002-0000-0500-00000B000000}">
      <formula1>100</formula1>
      <formula2>999</formula2>
    </dataValidation>
    <dataValidation type="whole" allowBlank="1" showInputMessage="1" showErrorMessage="1" error="Enter whole number." prompt="Extraordinary items are transactions/events that are both unusual in nature and infrequent in occurrence.   Provide a description in the space provided.  The cell is formatted to wrap and heighten if necessary." sqref="G159:N159" xr:uid="{00000000-0002-0000-0500-00000C000000}">
      <formula1>-10000000000000000000</formula1>
      <formula2>10000000000000000000</formula2>
    </dataValidation>
  </dataValidations>
  <pageMargins left="0.7" right="0.17" top="0.82" bottom="0.5" header="0.38" footer="0.17"/>
  <pageSetup paperSize="5" scale="59" fitToHeight="0" orientation="landscape" cellComments="asDisplayed" r:id="rId1"/>
  <headerFooter alignWithMargins="0">
    <oddHeader>&amp;C&amp;"Arial,Bold"&amp;11Attachment HE-10
Financial Statement Template
&amp;A</oddHeader>
    <oddFooter>&amp;L&amp;"Arial,Regular"&amp;F \ &amp;A&amp;R&amp;"Arial,Regular"Page &amp;P</oddFooter>
  </headerFooter>
  <rowBreaks count="4" manualBreakCount="4">
    <brk id="60" max="16383" man="1"/>
    <brk id="93" max="16383" man="1"/>
    <brk id="123" max="16383" man="1"/>
    <brk id="16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1002"/>
  <sheetViews>
    <sheetView showGridLines="0" zoomScale="90" zoomScaleNormal="90" zoomScaleSheetLayoutView="75" workbookViewId="0"/>
  </sheetViews>
  <sheetFormatPr defaultColWidth="8.83203125" defaultRowHeight="12" x14ac:dyDescent="0.2"/>
  <cols>
    <col min="1" max="1" width="4.6640625" style="211" customWidth="1"/>
    <col min="2" max="2" width="1.83203125" style="211" customWidth="1"/>
    <col min="3" max="3" width="0.6640625" style="211" customWidth="1"/>
    <col min="4" max="4" width="52.6640625" style="211" customWidth="1"/>
    <col min="5" max="5" width="23.33203125" style="2" customWidth="1"/>
    <col min="6" max="6" width="2.33203125" style="2" customWidth="1"/>
    <col min="7" max="7" width="28.83203125" style="2" customWidth="1"/>
    <col min="8" max="8" width="16.83203125" style="3" customWidth="1"/>
    <col min="9" max="9" width="17.6640625" style="3" customWidth="1"/>
    <col min="10" max="10" width="16.83203125" style="3" customWidth="1"/>
    <col min="11" max="16384" width="8.83203125" style="211"/>
  </cols>
  <sheetData>
    <row r="1" spans="1:10" ht="12.75" x14ac:dyDescent="0.2">
      <c r="A1" s="824" t="s">
        <v>1155</v>
      </c>
      <c r="E1" s="1216">
        <f>FST!E1</f>
        <v>0</v>
      </c>
      <c r="F1" s="1217"/>
      <c r="G1" s="1217"/>
      <c r="H1" s="1217"/>
      <c r="I1" s="1217"/>
    </row>
    <row r="2" spans="1:10" ht="37.5" customHeight="1" x14ac:dyDescent="0.2">
      <c r="A2" s="824" t="s">
        <v>770</v>
      </c>
      <c r="E2" s="1184" t="str">
        <f>FST!E2</f>
        <v/>
      </c>
      <c r="F2" s="1166"/>
      <c r="G2" s="1166"/>
      <c r="H2" s="1166"/>
      <c r="I2" s="1167"/>
      <c r="J2"/>
    </row>
    <row r="3" spans="1:10" ht="12.75" x14ac:dyDescent="0.2">
      <c r="A3" s="824" t="s">
        <v>771</v>
      </c>
      <c r="E3" s="1176">
        <f>FST!E3</f>
        <v>0</v>
      </c>
      <c r="F3" s="1218"/>
      <c r="G3" s="1218"/>
      <c r="H3" s="1218"/>
      <c r="I3" s="1218"/>
      <c r="J3"/>
    </row>
    <row r="4" spans="1:10" ht="12.75" x14ac:dyDescent="0.2">
      <c r="A4" s="824" t="s">
        <v>773</v>
      </c>
      <c r="E4" s="1187">
        <f>FST!E4</f>
        <v>0</v>
      </c>
      <c r="F4" s="1219"/>
      <c r="G4" s="1219"/>
      <c r="H4" s="1219"/>
      <c r="I4" s="1219"/>
      <c r="J4"/>
    </row>
    <row r="5" spans="1:10" ht="12.75" x14ac:dyDescent="0.2">
      <c r="A5" s="825" t="s">
        <v>774</v>
      </c>
      <c r="E5" s="1176">
        <f>FST!E5</f>
        <v>0</v>
      </c>
      <c r="F5" s="1218"/>
      <c r="G5" s="1218"/>
      <c r="H5" s="1218"/>
      <c r="I5" s="1218"/>
      <c r="J5"/>
    </row>
    <row r="6" spans="1:10" ht="12.75" x14ac:dyDescent="0.2">
      <c r="A6" s="826" t="s">
        <v>775</v>
      </c>
      <c r="E6" s="1212">
        <f>FST!E6</f>
        <v>0</v>
      </c>
      <c r="F6" s="1213"/>
      <c r="G6" s="1213"/>
      <c r="H6" s="1213"/>
      <c r="I6" s="1214"/>
      <c r="J6"/>
    </row>
    <row r="7" spans="1:10" x14ac:dyDescent="0.2">
      <c r="A7" s="1" t="s">
        <v>435</v>
      </c>
    </row>
    <row r="10" spans="1:10" x14ac:dyDescent="0.2">
      <c r="A10" s="5" t="s">
        <v>260</v>
      </c>
      <c r="H10" s="4"/>
      <c r="I10" s="4"/>
      <c r="J10" s="4"/>
    </row>
    <row r="11" spans="1:10" x14ac:dyDescent="0.2">
      <c r="A11" s="11" t="s">
        <v>436</v>
      </c>
      <c r="H11" s="4"/>
      <c r="I11" s="4"/>
      <c r="J11" s="4"/>
    </row>
    <row r="12" spans="1:10" x14ac:dyDescent="0.2">
      <c r="A12" s="11"/>
      <c r="H12" s="4"/>
      <c r="I12" s="4"/>
      <c r="J12" s="4"/>
    </row>
    <row r="13" spans="1:10" ht="6.75" customHeight="1" x14ac:dyDescent="0.2">
      <c r="A13" s="11"/>
      <c r="H13" s="4"/>
      <c r="I13" s="4"/>
      <c r="J13" s="4"/>
    </row>
    <row r="14" spans="1:10" x14ac:dyDescent="0.2">
      <c r="A14" s="67" t="s">
        <v>1317</v>
      </c>
      <c r="H14" s="4"/>
      <c r="I14" s="4"/>
      <c r="J14" s="4"/>
    </row>
    <row r="15" spans="1:10" x14ac:dyDescent="0.2">
      <c r="A15" s="211" t="s">
        <v>528</v>
      </c>
      <c r="H15" s="4"/>
      <c r="I15" s="4"/>
      <c r="J15" s="4"/>
    </row>
    <row r="16" spans="1:10" x14ac:dyDescent="0.2">
      <c r="H16" s="4"/>
      <c r="I16" s="4"/>
      <c r="J16" s="4"/>
    </row>
    <row r="17" spans="1:28" ht="1.5" customHeight="1" x14ac:dyDescent="0.2">
      <c r="H17" s="4"/>
      <c r="I17" s="4"/>
      <c r="J17" s="4"/>
    </row>
    <row r="18" spans="1:28" x14ac:dyDescent="0.2">
      <c r="A18" s="1" t="s">
        <v>318</v>
      </c>
      <c r="H18" s="4"/>
      <c r="I18" s="4"/>
      <c r="J18" s="4"/>
    </row>
    <row r="19" spans="1:28" x14ac:dyDescent="0.2">
      <c r="A19" s="211" t="s">
        <v>867</v>
      </c>
      <c r="H19" s="4"/>
      <c r="I19" s="4"/>
      <c r="J19" s="4"/>
    </row>
    <row r="20" spans="1:28" x14ac:dyDescent="0.2">
      <c r="A20" s="33" t="s">
        <v>319</v>
      </c>
      <c r="H20" s="253"/>
      <c r="I20" s="253"/>
      <c r="J20" s="253"/>
    </row>
    <row r="21" spans="1:28" x14ac:dyDescent="0.2">
      <c r="A21" s="33" t="s">
        <v>381</v>
      </c>
      <c r="H21" s="253"/>
      <c r="I21" s="253"/>
      <c r="J21" s="253"/>
    </row>
    <row r="22" spans="1:28" x14ac:dyDescent="0.2">
      <c r="A22" s="36"/>
      <c r="B22" s="200"/>
      <c r="C22" s="200"/>
      <c r="D22" s="200"/>
      <c r="E22" s="201"/>
      <c r="F22" s="201"/>
      <c r="G22" s="201"/>
      <c r="H22" s="202"/>
      <c r="I22" s="202"/>
      <c r="J22" s="202"/>
    </row>
    <row r="23" spans="1:28" x14ac:dyDescent="0.2">
      <c r="A23" s="1" t="s">
        <v>851</v>
      </c>
      <c r="H23" s="4"/>
      <c r="I23" s="4"/>
      <c r="J23" s="4"/>
    </row>
    <row r="24" spans="1:28" ht="12.75" x14ac:dyDescent="0.2">
      <c r="E24"/>
      <c r="F24"/>
      <c r="G24"/>
      <c r="H24" s="204" t="s">
        <v>224</v>
      </c>
      <c r="I24" s="904" t="s">
        <v>225</v>
      </c>
      <c r="J24" s="206" t="s">
        <v>220</v>
      </c>
    </row>
    <row r="25" spans="1:28" ht="66.75" customHeight="1" x14ac:dyDescent="0.2">
      <c r="E25" s="9" t="s">
        <v>972</v>
      </c>
      <c r="F25" s="9"/>
      <c r="G25" s="9" t="s">
        <v>973</v>
      </c>
      <c r="H25" s="205" t="s">
        <v>1730</v>
      </c>
      <c r="I25" s="205" t="s">
        <v>550</v>
      </c>
      <c r="J25" s="340" t="s">
        <v>434</v>
      </c>
    </row>
    <row r="26" spans="1:28" ht="24.75" customHeight="1" x14ac:dyDescent="0.2">
      <c r="A26" s="1" t="s">
        <v>891</v>
      </c>
      <c r="E26" s="9"/>
      <c r="F26" s="9"/>
      <c r="G26" s="9"/>
      <c r="H26" s="199"/>
      <c r="I26" s="199"/>
      <c r="J26" s="683"/>
    </row>
    <row r="27" spans="1:28" s="10" customFormat="1" x14ac:dyDescent="0.2">
      <c r="A27" s="1" t="s">
        <v>479</v>
      </c>
      <c r="E27" s="11"/>
      <c r="F27" s="11"/>
      <c r="G27" s="11"/>
      <c r="H27" s="12"/>
      <c r="I27" s="12"/>
      <c r="J27" s="12"/>
      <c r="K27" s="13"/>
      <c r="L27" s="13"/>
      <c r="M27" s="13"/>
      <c r="N27" s="13"/>
      <c r="O27" s="13"/>
      <c r="P27" s="13"/>
      <c r="Q27" s="13"/>
      <c r="R27" s="13"/>
      <c r="S27" s="13"/>
      <c r="T27" s="13"/>
      <c r="U27" s="13"/>
      <c r="V27" s="13"/>
      <c r="W27" s="13"/>
      <c r="X27" s="13"/>
      <c r="Y27" s="13"/>
      <c r="Z27" s="13"/>
      <c r="AA27" s="13"/>
      <c r="AB27" s="13"/>
    </row>
    <row r="28" spans="1:28" s="10" customFormat="1" x14ac:dyDescent="0.2">
      <c r="A28" s="10" t="s">
        <v>354</v>
      </c>
      <c r="E28" s="11"/>
      <c r="F28" s="14"/>
      <c r="G28" s="14"/>
      <c r="H28" s="29"/>
      <c r="I28" s="194"/>
      <c r="J28" s="209">
        <f t="shared" ref="J28:J34" si="0">SUM(H28:I28)</f>
        <v>0</v>
      </c>
      <c r="K28" s="13"/>
      <c r="L28" s="13"/>
      <c r="M28" s="13"/>
      <c r="N28" s="13"/>
      <c r="O28" s="13"/>
      <c r="P28" s="13"/>
      <c r="Q28" s="13"/>
      <c r="R28" s="13"/>
      <c r="S28" s="13"/>
      <c r="T28" s="13"/>
      <c r="U28" s="13"/>
      <c r="V28" s="13"/>
      <c r="W28" s="13"/>
      <c r="X28" s="13"/>
      <c r="Y28" s="13"/>
      <c r="Z28" s="13"/>
      <c r="AA28" s="13"/>
      <c r="AB28" s="13"/>
    </row>
    <row r="29" spans="1:28" s="10" customFormat="1" x14ac:dyDescent="0.2">
      <c r="A29" s="10" t="s">
        <v>353</v>
      </c>
      <c r="E29" s="11"/>
      <c r="F29" s="14"/>
      <c r="G29" s="14"/>
      <c r="H29" s="29"/>
      <c r="I29" s="194"/>
      <c r="J29" s="209">
        <f t="shared" si="0"/>
        <v>0</v>
      </c>
      <c r="K29" s="13"/>
      <c r="L29" s="13"/>
      <c r="M29" s="13"/>
      <c r="N29" s="13"/>
      <c r="O29" s="13"/>
      <c r="P29" s="13"/>
      <c r="Q29" s="13"/>
      <c r="R29" s="13"/>
      <c r="S29" s="13"/>
      <c r="T29" s="13"/>
      <c r="U29" s="13"/>
      <c r="V29" s="13"/>
      <c r="W29" s="13"/>
      <c r="X29" s="13"/>
      <c r="Y29" s="13"/>
      <c r="Z29" s="13"/>
      <c r="AA29" s="13"/>
      <c r="AB29" s="13"/>
    </row>
    <row r="30" spans="1:28" s="10" customFormat="1" x14ac:dyDescent="0.2">
      <c r="A30" s="10" t="s">
        <v>468</v>
      </c>
      <c r="E30" s="11"/>
      <c r="F30" s="14"/>
      <c r="G30" s="14"/>
      <c r="H30" s="29"/>
      <c r="I30" s="194"/>
      <c r="J30" s="209">
        <f t="shared" si="0"/>
        <v>0</v>
      </c>
      <c r="K30" s="13"/>
      <c r="L30" s="13"/>
      <c r="M30" s="13"/>
      <c r="N30" s="13"/>
      <c r="O30" s="13"/>
      <c r="P30" s="13"/>
      <c r="Q30" s="13"/>
      <c r="R30" s="13"/>
      <c r="S30" s="13"/>
      <c r="T30" s="13"/>
      <c r="U30" s="13"/>
      <c r="V30" s="13"/>
      <c r="W30" s="13"/>
      <c r="X30" s="13"/>
      <c r="Y30" s="13"/>
      <c r="Z30" s="13"/>
      <c r="AA30" s="13"/>
      <c r="AB30" s="13"/>
    </row>
    <row r="31" spans="1:28" s="10" customFormat="1" ht="29.25" customHeight="1" x14ac:dyDescent="0.2">
      <c r="A31" s="1164" t="s">
        <v>469</v>
      </c>
      <c r="B31" s="1164"/>
      <c r="C31" s="1164"/>
      <c r="D31" s="1164"/>
      <c r="E31" s="11"/>
      <c r="F31" s="14"/>
      <c r="G31" s="14"/>
      <c r="H31" s="29"/>
      <c r="I31" s="194"/>
      <c r="J31" s="209">
        <f t="shared" si="0"/>
        <v>0</v>
      </c>
      <c r="K31" s="13"/>
      <c r="L31" s="13"/>
      <c r="M31" s="13"/>
      <c r="N31" s="13"/>
      <c r="O31" s="13"/>
      <c r="P31" s="13"/>
      <c r="Q31" s="13"/>
      <c r="R31" s="13"/>
      <c r="S31" s="13"/>
      <c r="T31" s="13"/>
      <c r="U31" s="13"/>
      <c r="V31" s="13"/>
      <c r="W31" s="13"/>
      <c r="X31" s="13"/>
      <c r="Y31" s="13"/>
      <c r="Z31" s="13"/>
      <c r="AA31" s="13"/>
      <c r="AB31" s="13"/>
    </row>
    <row r="32" spans="1:28" s="10" customFormat="1" ht="27" customHeight="1" x14ac:dyDescent="0.2">
      <c r="A32" s="1164" t="s">
        <v>470</v>
      </c>
      <c r="B32" s="1164"/>
      <c r="C32" s="1164"/>
      <c r="D32" s="1164"/>
      <c r="E32" s="11"/>
      <c r="F32" s="14"/>
      <c r="G32" s="14"/>
      <c r="H32" s="29"/>
      <c r="I32" s="194"/>
      <c r="J32" s="209">
        <f t="shared" si="0"/>
        <v>0</v>
      </c>
      <c r="K32" s="13"/>
      <c r="L32" s="13"/>
      <c r="M32" s="13"/>
      <c r="N32" s="13"/>
      <c r="O32" s="13"/>
      <c r="P32" s="13"/>
      <c r="Q32" s="13"/>
      <c r="R32" s="13"/>
      <c r="S32" s="13"/>
      <c r="T32" s="13"/>
      <c r="U32" s="13"/>
      <c r="V32" s="13"/>
      <c r="W32" s="13"/>
      <c r="X32" s="13"/>
      <c r="Y32" s="13"/>
      <c r="Z32" s="13"/>
      <c r="AA32" s="13"/>
      <c r="AB32" s="13"/>
    </row>
    <row r="33" spans="1:28" s="10" customFormat="1" x14ac:dyDescent="0.2">
      <c r="A33" s="10" t="s">
        <v>77</v>
      </c>
      <c r="E33" s="5"/>
      <c r="F33" s="14"/>
      <c r="G33" s="11"/>
      <c r="H33" s="198"/>
      <c r="I33" s="29"/>
      <c r="J33" s="209">
        <f>SUM(H33:I33)</f>
        <v>0</v>
      </c>
      <c r="K33" s="13"/>
      <c r="L33" s="13"/>
      <c r="M33" s="13"/>
      <c r="N33" s="13"/>
      <c r="O33" s="13"/>
      <c r="P33" s="13"/>
      <c r="Q33" s="13"/>
      <c r="R33" s="13"/>
      <c r="S33" s="13"/>
      <c r="T33" s="13"/>
      <c r="U33" s="13"/>
      <c r="V33" s="13"/>
      <c r="W33" s="13"/>
      <c r="X33" s="13"/>
      <c r="Y33" s="13"/>
      <c r="Z33" s="13"/>
      <c r="AA33" s="13"/>
      <c r="AB33" s="13"/>
    </row>
    <row r="34" spans="1:28" s="10" customFormat="1" x14ac:dyDescent="0.2">
      <c r="A34" s="10" t="s">
        <v>502</v>
      </c>
      <c r="E34" s="11"/>
      <c r="F34" s="14"/>
      <c r="G34" s="14"/>
      <c r="H34" s="29"/>
      <c r="I34" s="194"/>
      <c r="J34" s="209">
        <f t="shared" si="0"/>
        <v>0</v>
      </c>
      <c r="K34" s="13"/>
      <c r="L34" s="13"/>
      <c r="M34" s="13"/>
      <c r="N34" s="13"/>
      <c r="O34" s="13"/>
      <c r="P34" s="13"/>
      <c r="Q34" s="13"/>
      <c r="R34" s="13"/>
      <c r="S34" s="13"/>
      <c r="T34" s="13"/>
      <c r="U34" s="13"/>
      <c r="V34" s="13"/>
      <c r="W34" s="13"/>
      <c r="X34" s="13"/>
      <c r="Y34" s="13"/>
      <c r="Z34" s="13"/>
      <c r="AA34" s="13"/>
      <c r="AB34" s="13"/>
    </row>
    <row r="35" spans="1:28" s="10" customFormat="1" x14ac:dyDescent="0.2">
      <c r="C35" s="18" t="s">
        <v>480</v>
      </c>
      <c r="E35" s="11"/>
      <c r="F35" s="14"/>
      <c r="G35" s="14"/>
      <c r="H35" s="15">
        <f>SUM(H28:H34)</f>
        <v>0</v>
      </c>
      <c r="I35" s="15">
        <f>SUM(I28:I34)</f>
        <v>0</v>
      </c>
      <c r="J35" s="15">
        <f>SUM(J28:J34)</f>
        <v>0</v>
      </c>
      <c r="K35" s="13"/>
      <c r="L35" s="13"/>
      <c r="M35" s="13"/>
      <c r="N35" s="13"/>
      <c r="O35" s="13"/>
      <c r="P35" s="13"/>
      <c r="Q35" s="13"/>
      <c r="R35" s="13"/>
      <c r="S35" s="13"/>
      <c r="T35" s="13"/>
      <c r="U35" s="13"/>
      <c r="V35" s="13"/>
      <c r="W35" s="13"/>
      <c r="X35" s="13"/>
      <c r="Y35" s="13"/>
      <c r="Z35" s="13"/>
      <c r="AA35" s="13"/>
      <c r="AB35" s="13"/>
    </row>
    <row r="36" spans="1:28" s="10" customFormat="1" x14ac:dyDescent="0.2">
      <c r="E36" s="11"/>
      <c r="F36" s="11"/>
      <c r="G36" s="11"/>
      <c r="H36" s="12"/>
      <c r="I36" s="12"/>
      <c r="J36" s="12"/>
    </row>
    <row r="37" spans="1:28" s="10" customFormat="1" ht="8.25" customHeight="1" x14ac:dyDescent="0.2">
      <c r="E37" s="11"/>
      <c r="F37" s="11"/>
      <c r="G37" s="11"/>
      <c r="H37" s="12"/>
      <c r="I37" s="12"/>
      <c r="J37" s="12"/>
      <c r="K37" s="13"/>
      <c r="L37" s="13"/>
      <c r="M37" s="13"/>
      <c r="N37" s="13"/>
      <c r="O37" s="13"/>
      <c r="P37" s="13"/>
      <c r="Q37" s="13"/>
      <c r="R37" s="13"/>
      <c r="S37" s="13"/>
      <c r="T37" s="13"/>
      <c r="U37" s="13"/>
      <c r="V37" s="13"/>
      <c r="W37" s="13"/>
      <c r="X37" s="13"/>
      <c r="Y37" s="13"/>
      <c r="Z37" s="13"/>
      <c r="AA37" s="13"/>
      <c r="AB37" s="13"/>
    </row>
    <row r="38" spans="1:28" s="10" customFormat="1" x14ac:dyDescent="0.2">
      <c r="E38" s="11"/>
      <c r="F38" s="14"/>
      <c r="G38" s="14"/>
      <c r="H38" s="209"/>
      <c r="I38" s="209"/>
      <c r="J38" s="209"/>
      <c r="K38" s="25"/>
      <c r="L38" s="25"/>
      <c r="M38" s="25"/>
      <c r="N38" s="25"/>
      <c r="O38" s="25"/>
      <c r="P38" s="25"/>
      <c r="Q38" s="25"/>
      <c r="R38" s="25"/>
      <c r="S38" s="25"/>
      <c r="T38" s="25"/>
      <c r="U38" s="25"/>
      <c r="V38" s="25"/>
      <c r="W38" s="25"/>
      <c r="X38" s="25"/>
      <c r="Y38" s="25"/>
      <c r="Z38" s="25"/>
      <c r="AA38" s="25"/>
      <c r="AB38" s="25"/>
    </row>
    <row r="39" spans="1:28" s="10" customFormat="1" x14ac:dyDescent="0.2">
      <c r="A39" s="10" t="s">
        <v>471</v>
      </c>
      <c r="E39" s="11"/>
      <c r="F39" s="14"/>
      <c r="G39" s="14"/>
      <c r="H39" s="29"/>
      <c r="I39" s="194"/>
      <c r="J39" s="209">
        <f>SUM(H39:I39)</f>
        <v>0</v>
      </c>
      <c r="K39" s="13"/>
      <c r="L39" s="13"/>
      <c r="M39" s="13"/>
      <c r="N39" s="13"/>
      <c r="O39" s="13"/>
      <c r="P39" s="13"/>
      <c r="Q39" s="13"/>
      <c r="R39" s="13"/>
      <c r="S39" s="13"/>
      <c r="T39" s="13"/>
      <c r="U39" s="13"/>
      <c r="V39" s="13"/>
      <c r="W39" s="13"/>
      <c r="X39" s="13"/>
      <c r="Y39" s="13"/>
      <c r="Z39" s="13"/>
      <c r="AA39" s="13"/>
      <c r="AB39" s="13"/>
    </row>
    <row r="40" spans="1:28" s="10" customFormat="1" x14ac:dyDescent="0.2">
      <c r="A40" s="10" t="s">
        <v>395</v>
      </c>
      <c r="E40" s="11"/>
      <c r="F40" s="14"/>
      <c r="G40" s="14"/>
      <c r="H40" s="29"/>
      <c r="I40" s="194"/>
      <c r="J40" s="209">
        <f>SUM(H40:I40)</f>
        <v>0</v>
      </c>
      <c r="K40" s="13"/>
      <c r="L40" s="13"/>
      <c r="M40" s="13"/>
      <c r="N40" s="13"/>
      <c r="O40" s="13"/>
      <c r="P40" s="13"/>
      <c r="Q40" s="13"/>
      <c r="R40" s="13"/>
      <c r="S40" s="13"/>
      <c r="T40" s="13"/>
      <c r="U40" s="13"/>
      <c r="V40" s="13"/>
      <c r="W40" s="13"/>
      <c r="X40" s="13"/>
      <c r="Y40" s="13"/>
      <c r="Z40" s="13"/>
      <c r="AA40" s="13"/>
      <c r="AB40" s="13"/>
    </row>
    <row r="41" spans="1:28" s="10" customFormat="1" x14ac:dyDescent="0.2">
      <c r="A41" s="10" t="s">
        <v>744</v>
      </c>
      <c r="E41" s="5"/>
      <c r="F41" s="14"/>
      <c r="G41" s="7" t="s">
        <v>501</v>
      </c>
      <c r="H41" s="194"/>
      <c r="I41" s="29"/>
      <c r="J41" s="209">
        <f>SUM(H41:I41)</f>
        <v>0</v>
      </c>
      <c r="K41" s="13"/>
      <c r="L41" s="13"/>
      <c r="M41" s="13"/>
      <c r="N41" s="13"/>
      <c r="O41" s="13"/>
      <c r="P41" s="13"/>
      <c r="Q41" s="13"/>
      <c r="R41" s="13"/>
      <c r="S41" s="13"/>
      <c r="T41" s="13"/>
      <c r="U41" s="13"/>
      <c r="V41" s="13"/>
      <c r="W41" s="13"/>
      <c r="X41" s="13"/>
      <c r="Y41" s="13"/>
      <c r="Z41" s="13"/>
      <c r="AA41" s="13"/>
      <c r="AB41" s="13"/>
    </row>
    <row r="42" spans="1:28" s="10" customFormat="1" x14ac:dyDescent="0.2">
      <c r="A42" s="10" t="s">
        <v>117</v>
      </c>
      <c r="E42" s="11"/>
      <c r="F42" s="14"/>
      <c r="G42" s="14"/>
      <c r="H42" s="29"/>
      <c r="I42" s="194"/>
      <c r="J42" s="209">
        <f>SUM(H42:I42)</f>
        <v>0</v>
      </c>
      <c r="K42" s="13"/>
      <c r="L42" s="13"/>
      <c r="M42" s="13"/>
      <c r="N42" s="13"/>
      <c r="O42" s="13"/>
      <c r="P42" s="13"/>
      <c r="Q42" s="13"/>
      <c r="R42" s="13"/>
      <c r="S42" s="13"/>
      <c r="T42" s="13"/>
      <c r="U42" s="13"/>
      <c r="V42" s="13"/>
      <c r="W42" s="13"/>
      <c r="X42" s="13"/>
      <c r="Y42" s="13"/>
      <c r="Z42" s="13"/>
      <c r="AA42" s="13"/>
      <c r="AB42" s="13"/>
    </row>
    <row r="43" spans="1:28" s="10" customFormat="1" x14ac:dyDescent="0.2">
      <c r="C43" s="18" t="s">
        <v>481</v>
      </c>
      <c r="E43" s="11"/>
      <c r="F43" s="14"/>
      <c r="G43" s="14"/>
      <c r="H43" s="15">
        <f>SUM(H39:H42)</f>
        <v>0</v>
      </c>
      <c r="I43" s="15">
        <f>SUM(I39:I42)</f>
        <v>0</v>
      </c>
      <c r="J43" s="15">
        <f>SUM(J39:J42)</f>
        <v>0</v>
      </c>
      <c r="K43" s="13"/>
      <c r="L43" s="13"/>
      <c r="M43" s="13"/>
      <c r="N43" s="13"/>
      <c r="O43" s="13"/>
      <c r="P43" s="13"/>
      <c r="Q43" s="13"/>
      <c r="R43" s="13"/>
      <c r="S43" s="13"/>
      <c r="T43" s="13"/>
      <c r="U43" s="13"/>
      <c r="V43" s="13"/>
      <c r="W43" s="13"/>
      <c r="X43" s="13"/>
      <c r="Y43" s="13"/>
      <c r="Z43" s="13"/>
      <c r="AA43" s="13"/>
      <c r="AB43" s="13"/>
    </row>
    <row r="44" spans="1:28" s="10" customFormat="1" x14ac:dyDescent="0.2">
      <c r="E44" s="11"/>
      <c r="F44" s="11"/>
      <c r="G44" s="11"/>
      <c r="H44" s="12"/>
      <c r="I44" s="12"/>
      <c r="J44" s="12"/>
      <c r="K44" s="13"/>
      <c r="L44" s="13"/>
      <c r="M44" s="13"/>
      <c r="N44" s="13"/>
      <c r="O44" s="13"/>
      <c r="P44" s="13"/>
      <c r="Q44" s="13"/>
      <c r="R44" s="13"/>
      <c r="S44" s="13"/>
      <c r="T44" s="13"/>
      <c r="U44" s="13"/>
      <c r="V44" s="13"/>
      <c r="W44" s="13"/>
      <c r="X44" s="13"/>
      <c r="Y44" s="13"/>
      <c r="Z44" s="13"/>
      <c r="AA44" s="13"/>
      <c r="AB44" s="13"/>
    </row>
    <row r="45" spans="1:28" s="10" customFormat="1" x14ac:dyDescent="0.2">
      <c r="A45" s="10" t="s">
        <v>541</v>
      </c>
      <c r="E45" s="11"/>
      <c r="F45" s="11"/>
      <c r="G45" s="11"/>
      <c r="H45" s="17"/>
      <c r="I45" s="17"/>
      <c r="J45" s="17"/>
      <c r="K45" s="13"/>
      <c r="L45" s="13"/>
      <c r="M45" s="13"/>
      <c r="N45" s="13"/>
      <c r="O45" s="13"/>
      <c r="P45" s="13"/>
      <c r="Q45" s="13"/>
      <c r="R45" s="13"/>
      <c r="S45" s="13"/>
      <c r="T45" s="13"/>
      <c r="U45" s="13"/>
      <c r="V45" s="13"/>
      <c r="W45" s="13"/>
      <c r="X45" s="13"/>
      <c r="Y45" s="13"/>
      <c r="Z45" s="13"/>
      <c r="AA45" s="13"/>
      <c r="AB45" s="13"/>
    </row>
    <row r="46" spans="1:28" s="10" customFormat="1" x14ac:dyDescent="0.2">
      <c r="B46" s="10" t="s">
        <v>304</v>
      </c>
      <c r="E46" s="11"/>
      <c r="F46" s="11"/>
      <c r="G46" s="11"/>
      <c r="H46" s="29"/>
      <c r="I46" s="194"/>
      <c r="J46" s="209">
        <f>SUM(H46:I46)</f>
        <v>0</v>
      </c>
      <c r="K46" s="13"/>
      <c r="L46" s="13"/>
      <c r="M46" s="13"/>
      <c r="N46" s="13"/>
      <c r="O46" s="13"/>
      <c r="P46" s="13"/>
      <c r="Q46" s="13"/>
      <c r="R46" s="13"/>
      <c r="S46" s="13"/>
      <c r="T46" s="13"/>
      <c r="U46" s="13"/>
      <c r="V46" s="13"/>
      <c r="W46" s="13"/>
      <c r="X46" s="13"/>
      <c r="Y46" s="13"/>
      <c r="Z46" s="13"/>
      <c r="AA46" s="13"/>
      <c r="AB46" s="13"/>
    </row>
    <row r="47" spans="1:28" s="10" customFormat="1" x14ac:dyDescent="0.2">
      <c r="B47" s="10" t="s">
        <v>305</v>
      </c>
      <c r="E47" s="11"/>
      <c r="F47" s="11"/>
      <c r="G47" s="11"/>
      <c r="H47" s="29"/>
      <c r="I47" s="194"/>
      <c r="J47" s="209">
        <f>SUM(H47:I47)</f>
        <v>0</v>
      </c>
      <c r="K47" s="13"/>
      <c r="L47" s="13"/>
      <c r="M47" s="13"/>
      <c r="N47" s="13"/>
      <c r="O47" s="13"/>
      <c r="P47" s="13"/>
      <c r="Q47" s="13"/>
      <c r="R47" s="13"/>
      <c r="S47" s="13"/>
      <c r="T47" s="13"/>
      <c r="U47" s="13"/>
      <c r="V47" s="13"/>
      <c r="W47" s="13"/>
      <c r="X47" s="13"/>
      <c r="Y47" s="13"/>
      <c r="Z47" s="13"/>
      <c r="AA47" s="13"/>
      <c r="AB47" s="13"/>
    </row>
    <row r="48" spans="1:28" s="10" customFormat="1" x14ac:dyDescent="0.2">
      <c r="B48" s="211" t="s">
        <v>996</v>
      </c>
      <c r="E48" s="11"/>
      <c r="F48" s="11"/>
      <c r="G48" s="11"/>
      <c r="H48" s="29"/>
      <c r="I48" s="194"/>
      <c r="J48" s="209">
        <f>SUM(H48:I48)</f>
        <v>0</v>
      </c>
      <c r="K48" s="13"/>
      <c r="L48" s="13"/>
      <c r="M48" s="13"/>
      <c r="N48" s="13"/>
      <c r="O48" s="13"/>
      <c r="P48" s="13"/>
      <c r="Q48" s="13"/>
      <c r="R48" s="13"/>
      <c r="S48" s="13"/>
      <c r="T48" s="13"/>
      <c r="U48" s="13"/>
      <c r="V48" s="13"/>
      <c r="W48" s="13"/>
      <c r="X48" s="13"/>
      <c r="Y48" s="13"/>
      <c r="Z48" s="13"/>
      <c r="AA48" s="13"/>
      <c r="AB48" s="13"/>
    </row>
    <row r="49" spans="1:28" s="10" customFormat="1" x14ac:dyDescent="0.2">
      <c r="A49" s="10" t="s">
        <v>37</v>
      </c>
      <c r="E49" s="11"/>
      <c r="F49" s="11"/>
      <c r="G49" s="11"/>
      <c r="H49" s="209"/>
      <c r="I49" s="209"/>
      <c r="J49" s="209"/>
      <c r="K49" s="13"/>
      <c r="L49" s="13"/>
      <c r="M49" s="13"/>
      <c r="N49" s="13"/>
      <c r="O49" s="13"/>
      <c r="P49" s="13"/>
      <c r="Q49" s="13"/>
      <c r="R49" s="13"/>
      <c r="S49" s="13"/>
      <c r="T49" s="13"/>
      <c r="U49" s="13"/>
      <c r="V49" s="13"/>
      <c r="W49" s="13"/>
      <c r="X49" s="13"/>
      <c r="Y49" s="13"/>
      <c r="Z49" s="13"/>
      <c r="AA49" s="13"/>
      <c r="AB49" s="13"/>
    </row>
    <row r="50" spans="1:28" s="10" customFormat="1" x14ac:dyDescent="0.2">
      <c r="B50" s="10" t="s">
        <v>306</v>
      </c>
      <c r="E50" s="11"/>
      <c r="F50" s="11"/>
      <c r="G50" s="11"/>
      <c r="H50" s="29"/>
      <c r="I50" s="194"/>
      <c r="J50" s="209">
        <f>SUM(H50:I50)</f>
        <v>0</v>
      </c>
      <c r="K50" s="13"/>
      <c r="L50" s="13"/>
      <c r="M50" s="13"/>
      <c r="N50" s="13"/>
      <c r="O50" s="13"/>
      <c r="P50" s="13"/>
      <c r="Q50" s="13"/>
      <c r="R50" s="13"/>
      <c r="S50" s="13"/>
      <c r="T50" s="13"/>
      <c r="U50" s="13"/>
      <c r="V50" s="13"/>
      <c r="W50" s="13"/>
      <c r="X50" s="13"/>
      <c r="Y50" s="13"/>
      <c r="Z50" s="13"/>
      <c r="AA50" s="13"/>
      <c r="AB50" s="13"/>
    </row>
    <row r="51" spans="1:28" s="10" customFormat="1" x14ac:dyDescent="0.2">
      <c r="B51" s="10" t="s">
        <v>307</v>
      </c>
      <c r="E51" s="11"/>
      <c r="F51" s="11"/>
      <c r="G51" s="11"/>
      <c r="H51" s="29"/>
      <c r="I51" s="194"/>
      <c r="J51" s="209">
        <f>SUM(H51:I51)</f>
        <v>0</v>
      </c>
      <c r="K51" s="13"/>
      <c r="L51" s="13"/>
      <c r="M51" s="13"/>
      <c r="N51" s="13"/>
      <c r="O51" s="13"/>
      <c r="P51" s="13"/>
      <c r="Q51" s="13"/>
      <c r="R51" s="13"/>
      <c r="S51" s="13"/>
      <c r="T51" s="13"/>
      <c r="U51" s="13"/>
      <c r="V51" s="13"/>
      <c r="W51" s="13"/>
      <c r="X51" s="13"/>
      <c r="Y51" s="13"/>
      <c r="Z51" s="13"/>
      <c r="AA51" s="13"/>
      <c r="AB51" s="13"/>
    </row>
    <row r="52" spans="1:28" s="10" customFormat="1" x14ac:dyDescent="0.2">
      <c r="B52" s="10" t="s">
        <v>308</v>
      </c>
      <c r="E52" s="11"/>
      <c r="F52" s="11"/>
      <c r="G52" s="11"/>
      <c r="H52" s="413"/>
      <c r="I52" s="414"/>
      <c r="J52" s="209">
        <f>SUM(H52:I52)</f>
        <v>0</v>
      </c>
      <c r="K52" s="13"/>
      <c r="L52" s="13"/>
      <c r="M52" s="13"/>
      <c r="N52" s="13"/>
      <c r="O52" s="13"/>
      <c r="P52" s="13"/>
      <c r="Q52" s="13"/>
      <c r="R52" s="13"/>
      <c r="S52" s="13"/>
      <c r="T52" s="13"/>
      <c r="U52" s="13"/>
      <c r="V52" s="13"/>
      <c r="W52" s="13"/>
      <c r="X52" s="13"/>
      <c r="Y52" s="13"/>
      <c r="Z52" s="13"/>
      <c r="AA52" s="13"/>
      <c r="AB52" s="13"/>
    </row>
    <row r="53" spans="1:28" s="10" customFormat="1" x14ac:dyDescent="0.2">
      <c r="B53" s="10" t="s">
        <v>309</v>
      </c>
      <c r="E53" s="11"/>
      <c r="F53" s="11"/>
      <c r="G53" s="11"/>
      <c r="H53" s="29"/>
      <c r="I53" s="194"/>
      <c r="J53" s="209">
        <f>SUM(H53:I53)</f>
        <v>0</v>
      </c>
      <c r="K53" s="13"/>
      <c r="L53" s="13"/>
      <c r="M53" s="13"/>
      <c r="N53" s="13"/>
      <c r="O53" s="13"/>
      <c r="P53" s="13"/>
      <c r="Q53" s="13"/>
      <c r="R53" s="13"/>
      <c r="S53" s="13"/>
      <c r="T53" s="13"/>
      <c r="U53" s="13"/>
      <c r="V53" s="13"/>
      <c r="W53" s="13"/>
      <c r="X53" s="13"/>
      <c r="Y53" s="13"/>
      <c r="Z53" s="13"/>
      <c r="AA53" s="13"/>
      <c r="AB53" s="13"/>
    </row>
    <row r="54" spans="1:28" s="10" customFormat="1" x14ac:dyDescent="0.2">
      <c r="E54" s="11"/>
      <c r="F54" s="11"/>
      <c r="G54" s="11"/>
      <c r="H54" s="209"/>
      <c r="I54" s="209"/>
      <c r="J54" s="209"/>
      <c r="K54" s="13"/>
      <c r="L54" s="13"/>
      <c r="M54" s="13"/>
      <c r="N54" s="13"/>
      <c r="O54" s="13"/>
      <c r="P54" s="13"/>
      <c r="Q54" s="13"/>
      <c r="R54" s="13"/>
      <c r="S54" s="13"/>
      <c r="T54" s="13"/>
      <c r="U54" s="13"/>
      <c r="V54" s="13"/>
      <c r="W54" s="13"/>
      <c r="X54" s="13"/>
      <c r="Y54" s="13"/>
      <c r="Z54" s="13"/>
      <c r="AA54" s="13"/>
      <c r="AB54" s="13"/>
    </row>
    <row r="55" spans="1:28" s="10" customFormat="1" x14ac:dyDescent="0.2">
      <c r="E55" s="11"/>
      <c r="F55" s="11"/>
      <c r="G55" s="11"/>
      <c r="H55" s="12"/>
      <c r="I55" s="12"/>
      <c r="J55" s="12"/>
      <c r="K55" s="13"/>
      <c r="L55" s="13"/>
      <c r="M55" s="13"/>
      <c r="N55" s="13"/>
      <c r="O55" s="13"/>
      <c r="P55" s="13"/>
      <c r="Q55" s="13"/>
      <c r="R55" s="13"/>
      <c r="S55" s="13"/>
      <c r="T55" s="13"/>
      <c r="U55" s="13"/>
      <c r="V55" s="13"/>
      <c r="W55" s="13"/>
      <c r="X55" s="13"/>
      <c r="Y55" s="13"/>
      <c r="Z55" s="13"/>
      <c r="AA55" s="13"/>
      <c r="AB55" s="13"/>
    </row>
    <row r="56" spans="1:28" s="10" customFormat="1" x14ac:dyDescent="0.2">
      <c r="A56" s="18" t="s">
        <v>765</v>
      </c>
      <c r="E56" s="7" t="s">
        <v>384</v>
      </c>
      <c r="F56" s="380"/>
      <c r="G56" s="7" t="s">
        <v>736</v>
      </c>
      <c r="H56" s="193"/>
      <c r="I56" s="29"/>
      <c r="J56" s="209">
        <f>SUM(H56:I56)</f>
        <v>0</v>
      </c>
      <c r="K56" s="13"/>
      <c r="L56" s="13"/>
      <c r="M56" s="13"/>
      <c r="N56" s="13"/>
      <c r="O56" s="13"/>
      <c r="P56" s="13"/>
      <c r="Q56" s="13"/>
      <c r="R56" s="13"/>
      <c r="S56" s="13"/>
      <c r="T56" s="13"/>
      <c r="U56" s="13"/>
      <c r="V56" s="13"/>
      <c r="W56" s="13"/>
      <c r="X56" s="13"/>
      <c r="Y56" s="13"/>
      <c r="Z56" s="13"/>
      <c r="AA56" s="13"/>
      <c r="AB56" s="13"/>
    </row>
    <row r="57" spans="1:28" s="10" customFormat="1" x14ac:dyDescent="0.2">
      <c r="A57" s="18" t="s">
        <v>745</v>
      </c>
      <c r="E57" s="5"/>
      <c r="F57" s="14"/>
      <c r="G57" s="7" t="s">
        <v>520</v>
      </c>
      <c r="H57" s="194"/>
      <c r="I57" s="29"/>
      <c r="J57" s="209">
        <f>SUM(H57:I57)</f>
        <v>0</v>
      </c>
      <c r="K57" s="13"/>
      <c r="L57" s="13"/>
      <c r="M57" s="13"/>
      <c r="N57" s="13"/>
      <c r="O57" s="13"/>
      <c r="P57" s="13"/>
      <c r="Q57" s="13"/>
      <c r="R57" s="13"/>
      <c r="S57" s="13"/>
      <c r="T57" s="13"/>
      <c r="U57" s="13"/>
      <c r="V57" s="13"/>
      <c r="W57" s="13"/>
      <c r="X57" s="13"/>
      <c r="Y57" s="13"/>
      <c r="Z57" s="13"/>
      <c r="AA57" s="13"/>
      <c r="AB57" s="13"/>
    </row>
    <row r="58" spans="1:28" s="10" customFormat="1" x14ac:dyDescent="0.2">
      <c r="A58" s="18" t="s">
        <v>91</v>
      </c>
      <c r="E58" s="11"/>
      <c r="F58" s="11"/>
      <c r="G58" s="11"/>
      <c r="H58" s="29"/>
      <c r="I58" s="194"/>
      <c r="J58" s="209">
        <f>SUM(H58:I58)</f>
        <v>0</v>
      </c>
      <c r="K58" s="13"/>
      <c r="L58" s="13"/>
      <c r="M58" s="13"/>
      <c r="N58" s="13"/>
      <c r="O58" s="13"/>
      <c r="P58" s="13"/>
      <c r="Q58" s="13"/>
      <c r="R58" s="13"/>
      <c r="S58" s="13"/>
      <c r="T58" s="13"/>
      <c r="U58" s="13"/>
      <c r="V58" s="13"/>
      <c r="W58" s="13"/>
      <c r="X58" s="13"/>
      <c r="Y58" s="13"/>
      <c r="Z58" s="13"/>
      <c r="AA58" s="13"/>
      <c r="AB58" s="13"/>
    </row>
    <row r="59" spans="1:28" s="10" customFormat="1" x14ac:dyDescent="0.2">
      <c r="A59" s="10" t="s">
        <v>517</v>
      </c>
      <c r="E59" s="7" t="s">
        <v>220</v>
      </c>
      <c r="F59" s="7"/>
      <c r="G59" s="7" t="s">
        <v>220</v>
      </c>
      <c r="H59" s="194"/>
      <c r="I59" s="29"/>
      <c r="J59" s="265">
        <f>SUM(H59:I59)</f>
        <v>0</v>
      </c>
      <c r="K59" s="13"/>
      <c r="L59" s="13"/>
      <c r="M59" s="13"/>
      <c r="N59" s="13"/>
      <c r="O59" s="13"/>
      <c r="P59" s="13"/>
      <c r="Q59" s="13"/>
      <c r="R59" s="13"/>
      <c r="S59" s="13"/>
      <c r="T59" s="13"/>
      <c r="U59" s="13"/>
      <c r="V59" s="13"/>
      <c r="W59" s="13"/>
      <c r="X59" s="13"/>
      <c r="Y59" s="13"/>
      <c r="Z59" s="13"/>
      <c r="AA59" s="13"/>
      <c r="AB59" s="13"/>
    </row>
    <row r="60" spans="1:28" s="10" customFormat="1" x14ac:dyDescent="0.2">
      <c r="A60" s="10" t="s">
        <v>461</v>
      </c>
      <c r="E60" s="7" t="s">
        <v>220</v>
      </c>
      <c r="F60" s="7"/>
      <c r="G60" s="7" t="s">
        <v>220</v>
      </c>
      <c r="H60" s="193"/>
      <c r="I60" s="29"/>
      <c r="J60" s="265">
        <f>SUM(H60:I60)</f>
        <v>0</v>
      </c>
      <c r="K60" s="13"/>
      <c r="L60" s="13"/>
      <c r="M60" s="13"/>
      <c r="N60" s="13"/>
      <c r="O60" s="13"/>
      <c r="P60" s="13"/>
      <c r="Q60" s="13"/>
      <c r="R60" s="13"/>
      <c r="S60" s="13"/>
      <c r="T60" s="13"/>
      <c r="U60" s="13"/>
      <c r="V60" s="13"/>
      <c r="W60" s="13"/>
      <c r="X60" s="13"/>
      <c r="Y60" s="13"/>
      <c r="Z60" s="13"/>
      <c r="AA60" s="13"/>
      <c r="AB60" s="13"/>
    </row>
    <row r="61" spans="1:28" s="10" customFormat="1" x14ac:dyDescent="0.2">
      <c r="E61" s="11"/>
      <c r="F61" s="11"/>
      <c r="G61" s="11"/>
      <c r="H61" s="12"/>
      <c r="I61" s="12"/>
      <c r="J61" s="12"/>
      <c r="K61" s="13"/>
      <c r="L61" s="13"/>
      <c r="M61" s="13"/>
      <c r="N61" s="13"/>
      <c r="O61" s="13"/>
      <c r="P61" s="13"/>
      <c r="Q61" s="13"/>
      <c r="R61" s="13"/>
      <c r="S61" s="13"/>
      <c r="T61" s="13"/>
      <c r="U61" s="13"/>
      <c r="V61" s="13"/>
      <c r="W61" s="13"/>
      <c r="X61" s="13"/>
      <c r="Y61" s="13"/>
      <c r="Z61" s="13"/>
      <c r="AA61" s="13"/>
      <c r="AB61" s="13"/>
    </row>
    <row r="62" spans="1:28" s="10" customFormat="1" x14ac:dyDescent="0.2">
      <c r="A62" s="18" t="s">
        <v>766</v>
      </c>
      <c r="E62" s="11"/>
      <c r="F62" s="14"/>
      <c r="G62" s="14"/>
      <c r="H62" s="29"/>
      <c r="I62" s="29"/>
      <c r="J62" s="209">
        <f>SUM(H62:I62)</f>
        <v>0</v>
      </c>
      <c r="K62" s="13"/>
      <c r="L62" s="13"/>
      <c r="M62" s="13"/>
      <c r="N62" s="13"/>
      <c r="O62" s="13"/>
      <c r="P62" s="13"/>
      <c r="Q62" s="13"/>
      <c r="R62" s="13"/>
      <c r="S62" s="13"/>
      <c r="T62" s="13"/>
      <c r="U62" s="13"/>
      <c r="V62" s="13"/>
      <c r="W62" s="13"/>
      <c r="X62" s="13"/>
      <c r="Y62" s="13"/>
      <c r="Z62" s="13"/>
      <c r="AA62" s="13"/>
      <c r="AB62" s="13"/>
    </row>
    <row r="63" spans="1:28" s="10" customFormat="1" x14ac:dyDescent="0.2">
      <c r="A63" s="18" t="s">
        <v>483</v>
      </c>
      <c r="E63" s="11"/>
      <c r="F63" s="11"/>
      <c r="G63" s="11"/>
      <c r="H63" s="29"/>
      <c r="I63" s="29"/>
      <c r="J63" s="209">
        <f>SUM(H63:I63)</f>
        <v>0</v>
      </c>
      <c r="K63" s="13"/>
      <c r="L63" s="13"/>
      <c r="M63" s="13"/>
      <c r="N63" s="13"/>
      <c r="O63" s="13"/>
      <c r="P63" s="13"/>
      <c r="Q63" s="13"/>
      <c r="R63" s="13"/>
      <c r="S63" s="13"/>
      <c r="T63" s="13"/>
      <c r="U63" s="13"/>
      <c r="V63" s="13"/>
      <c r="W63" s="13"/>
      <c r="X63" s="13"/>
      <c r="Y63" s="13"/>
      <c r="Z63" s="13"/>
      <c r="AA63" s="13"/>
      <c r="AB63" s="13"/>
    </row>
    <row r="64" spans="1:28" s="10" customFormat="1" x14ac:dyDescent="0.2">
      <c r="E64" s="11"/>
      <c r="F64" s="11"/>
      <c r="G64" s="11"/>
      <c r="H64" s="12"/>
      <c r="I64" s="12"/>
      <c r="J64" s="12"/>
      <c r="K64" s="13"/>
      <c r="L64" s="13"/>
      <c r="M64" s="13"/>
      <c r="N64" s="13"/>
      <c r="O64" s="13"/>
      <c r="P64" s="13"/>
      <c r="Q64" s="13"/>
      <c r="R64" s="13"/>
      <c r="S64" s="13"/>
      <c r="T64" s="13"/>
      <c r="U64" s="13"/>
      <c r="V64" s="13"/>
      <c r="W64" s="13"/>
      <c r="X64" s="13"/>
      <c r="Y64" s="13"/>
      <c r="Z64" s="13"/>
      <c r="AA64" s="13"/>
      <c r="AB64" s="13"/>
    </row>
    <row r="65" spans="1:28" s="10" customFormat="1" x14ac:dyDescent="0.2">
      <c r="A65" s="10" t="s">
        <v>78</v>
      </c>
      <c r="E65" s="11"/>
      <c r="F65" s="11"/>
      <c r="G65" s="11"/>
      <c r="H65" s="29"/>
      <c r="I65" s="29"/>
      <c r="J65" s="209">
        <f>SUM(H65:I65)</f>
        <v>0</v>
      </c>
      <c r="K65" s="13"/>
      <c r="L65" s="13"/>
      <c r="M65" s="13"/>
      <c r="N65" s="13"/>
      <c r="O65" s="13"/>
      <c r="P65" s="13"/>
      <c r="Q65" s="13"/>
      <c r="R65" s="13"/>
      <c r="S65" s="13"/>
      <c r="T65" s="13"/>
      <c r="U65" s="13"/>
      <c r="V65" s="13"/>
      <c r="W65" s="13"/>
      <c r="X65" s="13"/>
      <c r="Y65" s="13"/>
      <c r="Z65" s="13"/>
      <c r="AA65" s="13"/>
      <c r="AB65" s="13"/>
    </row>
    <row r="66" spans="1:28" s="10" customFormat="1" x14ac:dyDescent="0.2">
      <c r="A66" s="211" t="s">
        <v>1313</v>
      </c>
      <c r="E66" s="11"/>
      <c r="F66" s="11"/>
      <c r="G66" s="11"/>
      <c r="H66" s="29"/>
      <c r="I66" s="194"/>
      <c r="J66" s="209">
        <f>SUM(H66:I66)</f>
        <v>0</v>
      </c>
      <c r="K66" s="13"/>
      <c r="L66" s="13"/>
      <c r="M66" s="13"/>
      <c r="N66" s="13"/>
      <c r="O66" s="13"/>
      <c r="P66" s="13"/>
      <c r="Q66" s="13"/>
      <c r="R66" s="13"/>
      <c r="S66" s="13"/>
      <c r="T66" s="13"/>
      <c r="U66" s="13"/>
      <c r="V66" s="13"/>
      <c r="W66" s="13"/>
      <c r="X66" s="13"/>
      <c r="Y66" s="13"/>
      <c r="Z66" s="13"/>
      <c r="AA66" s="13"/>
      <c r="AB66" s="13"/>
    </row>
    <row r="67" spans="1:28" s="10" customFormat="1" hidden="1" x14ac:dyDescent="0.2">
      <c r="A67" s="686"/>
      <c r="E67" s="11"/>
      <c r="F67" s="11"/>
      <c r="G67" s="11"/>
      <c r="H67" s="209"/>
      <c r="I67" s="209"/>
      <c r="J67" s="209"/>
      <c r="K67" s="13"/>
      <c r="L67" s="13"/>
      <c r="M67" s="13"/>
      <c r="N67" s="13"/>
      <c r="O67" s="13"/>
      <c r="P67" s="13"/>
      <c r="Q67" s="13"/>
      <c r="R67" s="13"/>
      <c r="S67" s="13"/>
      <c r="T67" s="13"/>
      <c r="U67" s="13"/>
      <c r="V67" s="13"/>
      <c r="W67" s="13"/>
      <c r="X67" s="13"/>
      <c r="Y67" s="13"/>
      <c r="Z67" s="13"/>
      <c r="AA67" s="13"/>
      <c r="AB67" s="13"/>
    </row>
    <row r="68" spans="1:28" s="10" customFormat="1" x14ac:dyDescent="0.2">
      <c r="A68" s="10" t="s">
        <v>485</v>
      </c>
      <c r="E68" s="11"/>
      <c r="F68" s="11"/>
      <c r="G68" s="11"/>
      <c r="H68" s="29"/>
      <c r="I68" s="29"/>
      <c r="J68" s="209">
        <f>SUM(H68:I68)</f>
        <v>0</v>
      </c>
      <c r="K68" s="13"/>
      <c r="L68" s="13"/>
      <c r="M68" s="13"/>
      <c r="N68" s="13"/>
      <c r="O68" s="13"/>
      <c r="P68" s="13"/>
      <c r="Q68" s="13"/>
      <c r="R68" s="13"/>
      <c r="S68" s="13"/>
      <c r="T68" s="13"/>
      <c r="U68" s="13"/>
      <c r="V68" s="13"/>
      <c r="W68" s="13"/>
      <c r="X68" s="13"/>
      <c r="Y68" s="13"/>
      <c r="Z68" s="13"/>
      <c r="AA68" s="13"/>
      <c r="AB68" s="13"/>
    </row>
    <row r="69" spans="1:28" s="10" customFormat="1" x14ac:dyDescent="0.2">
      <c r="C69" s="18" t="s">
        <v>486</v>
      </c>
      <c r="E69" s="11"/>
      <c r="F69" s="11"/>
      <c r="G69" s="11"/>
      <c r="H69" s="15">
        <f>SUM(H65:H68)</f>
        <v>0</v>
      </c>
      <c r="I69" s="15">
        <f>SUM(I65:I68)</f>
        <v>0</v>
      </c>
      <c r="J69" s="15">
        <f>SUM(J65:J68)</f>
        <v>0</v>
      </c>
    </row>
    <row r="70" spans="1:28" s="10" customFormat="1" x14ac:dyDescent="0.2">
      <c r="E70" s="11"/>
      <c r="F70" s="11"/>
      <c r="G70" s="11"/>
      <c r="H70" s="17"/>
      <c r="I70" s="17"/>
      <c r="J70" s="17"/>
    </row>
    <row r="71" spans="1:28" s="10" customFormat="1" x14ac:dyDescent="0.2">
      <c r="A71" s="18" t="s">
        <v>349</v>
      </c>
      <c r="E71" s="11"/>
      <c r="F71" s="11"/>
      <c r="G71" s="11"/>
      <c r="H71" s="29"/>
      <c r="I71" s="194"/>
      <c r="J71" s="209">
        <f>SUM(H71:I71)</f>
        <v>0</v>
      </c>
    </row>
    <row r="72" spans="1:28" s="10" customFormat="1" x14ac:dyDescent="0.2">
      <c r="A72" s="18" t="s">
        <v>350</v>
      </c>
      <c r="E72" s="11"/>
      <c r="F72" s="11"/>
      <c r="G72" s="11"/>
      <c r="H72" s="29"/>
      <c r="I72" s="194"/>
      <c r="J72" s="209">
        <f>SUM(H72:I72)</f>
        <v>0</v>
      </c>
    </row>
    <row r="73" spans="1:28" s="10" customFormat="1" x14ac:dyDescent="0.2">
      <c r="C73" s="18"/>
      <c r="E73" s="11"/>
      <c r="F73" s="11"/>
      <c r="G73" s="11"/>
      <c r="H73" s="17"/>
      <c r="I73" s="17"/>
      <c r="J73" s="17"/>
    </row>
    <row r="74" spans="1:28" s="10" customFormat="1" x14ac:dyDescent="0.2">
      <c r="E74" s="11"/>
      <c r="F74" s="11"/>
      <c r="G74" s="11"/>
      <c r="H74" s="17"/>
      <c r="I74" s="17"/>
      <c r="J74" s="17"/>
    </row>
    <row r="75" spans="1:28" s="10" customFormat="1" x14ac:dyDescent="0.2">
      <c r="A75" s="10" t="s">
        <v>355</v>
      </c>
      <c r="F75" s="14"/>
      <c r="G75" s="14"/>
      <c r="H75" s="29"/>
      <c r="I75" s="194"/>
      <c r="J75" s="209">
        <f t="shared" ref="J75:J82" si="1">SUM(H75:I75)</f>
        <v>0</v>
      </c>
      <c r="K75" s="13"/>
      <c r="L75" s="13"/>
      <c r="M75" s="13"/>
      <c r="N75" s="13"/>
      <c r="O75" s="13"/>
      <c r="P75" s="13"/>
      <c r="Q75" s="13"/>
      <c r="R75" s="13"/>
      <c r="S75" s="13"/>
      <c r="T75" s="13"/>
      <c r="U75" s="13"/>
      <c r="V75" s="13"/>
      <c r="W75" s="13"/>
      <c r="X75" s="13"/>
      <c r="Y75" s="13"/>
      <c r="Z75" s="13"/>
      <c r="AA75" s="13"/>
      <c r="AB75" s="13"/>
    </row>
    <row r="76" spans="1:28" s="10" customFormat="1" x14ac:dyDescent="0.2">
      <c r="A76" s="10" t="s">
        <v>356</v>
      </c>
      <c r="F76" s="14"/>
      <c r="G76" s="14"/>
      <c r="H76" s="29"/>
      <c r="I76" s="194"/>
      <c r="J76" s="209">
        <f t="shared" si="1"/>
        <v>0</v>
      </c>
      <c r="K76" s="13"/>
      <c r="L76" s="13"/>
      <c r="M76" s="13"/>
      <c r="N76" s="13"/>
      <c r="O76" s="13"/>
      <c r="P76" s="13"/>
      <c r="Q76" s="13"/>
      <c r="R76" s="13"/>
      <c r="S76" s="13"/>
      <c r="T76" s="13"/>
      <c r="U76" s="13"/>
      <c r="V76" s="13"/>
      <c r="W76" s="13"/>
      <c r="X76" s="13"/>
      <c r="Y76" s="13"/>
      <c r="Z76" s="13"/>
      <c r="AA76" s="13"/>
      <c r="AB76" s="13"/>
    </row>
    <row r="77" spans="1:28" s="10" customFormat="1" x14ac:dyDescent="0.2">
      <c r="A77" s="10" t="s">
        <v>33</v>
      </c>
      <c r="F77" s="14"/>
      <c r="G77" s="14"/>
      <c r="H77" s="29"/>
      <c r="I77" s="194"/>
      <c r="J77" s="209">
        <f t="shared" si="1"/>
        <v>0</v>
      </c>
      <c r="K77" s="13"/>
      <c r="L77" s="13"/>
      <c r="M77" s="13"/>
      <c r="N77" s="13"/>
      <c r="O77" s="13"/>
      <c r="P77" s="13"/>
      <c r="Q77" s="13"/>
      <c r="R77" s="13"/>
      <c r="S77" s="13"/>
      <c r="T77" s="13"/>
      <c r="U77" s="13"/>
      <c r="V77" s="13"/>
      <c r="W77" s="13"/>
      <c r="X77" s="13"/>
      <c r="Y77" s="13"/>
      <c r="Z77" s="13"/>
      <c r="AA77" s="13"/>
      <c r="AB77" s="13"/>
    </row>
    <row r="78" spans="1:28" s="10" customFormat="1" x14ac:dyDescent="0.2">
      <c r="A78" s="10" t="s">
        <v>34</v>
      </c>
      <c r="F78" s="14"/>
      <c r="G78" s="14"/>
      <c r="H78" s="29"/>
      <c r="I78" s="194"/>
      <c r="J78" s="209">
        <f t="shared" si="1"/>
        <v>0</v>
      </c>
      <c r="K78" s="13"/>
      <c r="L78" s="13"/>
      <c r="M78" s="13"/>
      <c r="N78" s="13"/>
      <c r="O78" s="13"/>
      <c r="P78" s="13"/>
      <c r="Q78" s="13"/>
      <c r="R78" s="13"/>
      <c r="S78" s="13"/>
      <c r="T78" s="13"/>
      <c r="U78" s="13"/>
      <c r="V78" s="13"/>
      <c r="W78" s="13"/>
      <c r="X78" s="13"/>
      <c r="Y78" s="13"/>
      <c r="Z78" s="13"/>
      <c r="AA78" s="13"/>
      <c r="AB78" s="13"/>
    </row>
    <row r="79" spans="1:28" s="10" customFormat="1" x14ac:dyDescent="0.2">
      <c r="A79" s="10" t="s">
        <v>35</v>
      </c>
      <c r="F79" s="14"/>
      <c r="G79" s="14"/>
      <c r="H79" s="29"/>
      <c r="I79" s="194"/>
      <c r="J79" s="209">
        <f t="shared" si="1"/>
        <v>0</v>
      </c>
      <c r="K79" s="13"/>
      <c r="L79" s="13"/>
      <c r="M79" s="13"/>
      <c r="N79" s="13"/>
      <c r="O79" s="13"/>
      <c r="P79" s="13"/>
      <c r="Q79" s="13"/>
      <c r="R79" s="13"/>
      <c r="S79" s="13"/>
      <c r="T79" s="13"/>
      <c r="U79" s="13"/>
      <c r="V79" s="13"/>
      <c r="W79" s="13"/>
      <c r="X79" s="13"/>
      <c r="Y79" s="13"/>
      <c r="Z79" s="13"/>
      <c r="AA79" s="13"/>
      <c r="AB79" s="13"/>
    </row>
    <row r="80" spans="1:28" s="10" customFormat="1" ht="29.25" customHeight="1" x14ac:dyDescent="0.2">
      <c r="A80" s="1164" t="s">
        <v>128</v>
      </c>
      <c r="B80" s="1164"/>
      <c r="C80" s="1164"/>
      <c r="D80" s="1164"/>
      <c r="E80" s="11"/>
      <c r="F80" s="14"/>
      <c r="G80" s="14"/>
      <c r="H80" s="29"/>
      <c r="I80" s="194"/>
      <c r="J80" s="209">
        <f t="shared" si="1"/>
        <v>0</v>
      </c>
      <c r="K80" s="13"/>
      <c r="L80" s="13"/>
      <c r="M80" s="13"/>
      <c r="N80" s="13"/>
      <c r="O80" s="13"/>
      <c r="P80" s="13"/>
      <c r="Q80" s="13"/>
      <c r="R80" s="13"/>
      <c r="S80" s="13"/>
      <c r="T80" s="13"/>
      <c r="U80" s="13"/>
      <c r="V80" s="13"/>
      <c r="W80" s="13"/>
      <c r="X80" s="13"/>
      <c r="Y80" s="13"/>
      <c r="Z80" s="13"/>
      <c r="AA80" s="13"/>
      <c r="AB80" s="13"/>
    </row>
    <row r="81" spans="1:28" s="10" customFormat="1" ht="29.25" customHeight="1" x14ac:dyDescent="0.2">
      <c r="A81" s="1164" t="s">
        <v>394</v>
      </c>
      <c r="B81" s="1164"/>
      <c r="C81" s="1164"/>
      <c r="D81" s="1164"/>
      <c r="E81" s="11"/>
      <c r="F81" s="14"/>
      <c r="G81" s="14"/>
      <c r="H81" s="29"/>
      <c r="I81" s="194"/>
      <c r="J81" s="209">
        <f t="shared" si="1"/>
        <v>0</v>
      </c>
      <c r="K81" s="13"/>
      <c r="L81" s="13"/>
      <c r="M81" s="13"/>
      <c r="N81" s="13"/>
      <c r="O81" s="13"/>
      <c r="P81" s="13"/>
      <c r="Q81" s="13"/>
      <c r="R81" s="13"/>
      <c r="S81" s="13"/>
      <c r="T81" s="13"/>
      <c r="U81" s="13"/>
      <c r="V81" s="13"/>
      <c r="W81" s="13"/>
      <c r="X81" s="13"/>
      <c r="Y81" s="13"/>
      <c r="Z81" s="13"/>
      <c r="AA81" s="13"/>
      <c r="AB81" s="13"/>
    </row>
    <row r="82" spans="1:28" s="10" customFormat="1" x14ac:dyDescent="0.2">
      <c r="A82" s="10" t="s">
        <v>747</v>
      </c>
      <c r="E82" s="5"/>
      <c r="F82" s="14"/>
      <c r="G82" s="14"/>
      <c r="H82" s="194"/>
      <c r="I82" s="29"/>
      <c r="J82" s="209">
        <f t="shared" si="1"/>
        <v>0</v>
      </c>
      <c r="K82" s="13"/>
      <c r="L82" s="13"/>
      <c r="M82" s="13"/>
      <c r="N82" s="13"/>
      <c r="O82" s="13"/>
      <c r="P82" s="13"/>
      <c r="Q82" s="13"/>
      <c r="R82" s="13"/>
      <c r="S82" s="13"/>
      <c r="T82" s="13"/>
      <c r="U82" s="13"/>
      <c r="V82" s="13"/>
      <c r="W82" s="13"/>
      <c r="X82" s="13"/>
      <c r="Y82" s="13"/>
      <c r="Z82" s="13"/>
      <c r="AA82" s="13"/>
      <c r="AB82" s="13"/>
    </row>
    <row r="83" spans="1:28" s="10" customFormat="1" x14ac:dyDescent="0.2">
      <c r="C83" s="18" t="s">
        <v>622</v>
      </c>
      <c r="E83" s="213"/>
      <c r="F83" s="14"/>
      <c r="G83" s="14"/>
      <c r="H83" s="15">
        <f>SUM(H75:H82)</f>
        <v>0</v>
      </c>
      <c r="I83" s="15">
        <f>SUM(I75:I82)</f>
        <v>0</v>
      </c>
      <c r="J83" s="15">
        <f>SUM(J75:J82)</f>
        <v>0</v>
      </c>
      <c r="K83" s="13"/>
      <c r="L83" s="13"/>
      <c r="M83" s="13"/>
      <c r="N83" s="13"/>
      <c r="O83" s="13"/>
      <c r="P83" s="13"/>
      <c r="Q83" s="13"/>
      <c r="R83" s="13"/>
      <c r="S83" s="13"/>
      <c r="T83" s="13"/>
      <c r="U83" s="13"/>
      <c r="V83" s="13"/>
      <c r="W83" s="13"/>
      <c r="X83" s="13"/>
      <c r="Y83" s="13"/>
      <c r="Z83" s="13"/>
      <c r="AA83" s="13"/>
      <c r="AB83" s="13"/>
    </row>
    <row r="84" spans="1:28" s="10" customFormat="1" x14ac:dyDescent="0.2">
      <c r="E84" s="11"/>
      <c r="F84" s="11"/>
      <c r="G84" s="11"/>
      <c r="H84" s="12"/>
      <c r="I84" s="12"/>
      <c r="J84" s="12"/>
      <c r="K84" s="13"/>
      <c r="L84" s="13"/>
      <c r="M84" s="13"/>
      <c r="N84" s="13"/>
      <c r="O84" s="13"/>
      <c r="P84" s="13"/>
      <c r="Q84" s="13"/>
      <c r="R84" s="13"/>
      <c r="S84" s="13"/>
      <c r="T84" s="13"/>
      <c r="U84" s="13"/>
      <c r="V84" s="13"/>
      <c r="W84" s="13"/>
      <c r="X84" s="13"/>
      <c r="Y84" s="13"/>
      <c r="Z84" s="13"/>
      <c r="AA84" s="13"/>
      <c r="AB84" s="13"/>
    </row>
    <row r="86" spans="1:28" s="10" customFormat="1" x14ac:dyDescent="0.2">
      <c r="A86" s="10" t="s">
        <v>405</v>
      </c>
      <c r="E86" s="11"/>
      <c r="F86" s="14"/>
      <c r="G86" s="14"/>
      <c r="H86" s="29"/>
      <c r="I86" s="194"/>
      <c r="J86" s="209">
        <f>SUM(H86:I86)</f>
        <v>0</v>
      </c>
      <c r="K86" s="13"/>
      <c r="L86" s="13"/>
      <c r="M86" s="13"/>
      <c r="N86" s="13"/>
      <c r="O86" s="13"/>
      <c r="P86" s="13"/>
      <c r="Q86" s="13"/>
      <c r="R86" s="13"/>
      <c r="S86" s="13"/>
      <c r="T86" s="13"/>
      <c r="U86" s="13"/>
      <c r="V86" s="13"/>
      <c r="W86" s="13"/>
      <c r="X86" s="13"/>
      <c r="Y86" s="13"/>
      <c r="Z86" s="13"/>
      <c r="AA86" s="13"/>
      <c r="AB86" s="13"/>
    </row>
    <row r="87" spans="1:28" s="10" customFormat="1" ht="23.25" customHeight="1" x14ac:dyDescent="0.2">
      <c r="A87" s="1164" t="s">
        <v>739</v>
      </c>
      <c r="B87" s="1164"/>
      <c r="C87" s="1164"/>
      <c r="D87" s="1164"/>
      <c r="E87" s="11"/>
      <c r="F87" s="14"/>
      <c r="G87" s="14"/>
      <c r="H87" s="29"/>
      <c r="I87" s="194"/>
      <c r="J87" s="209">
        <f>SUM(H87:I87)</f>
        <v>0</v>
      </c>
      <c r="K87" s="13"/>
      <c r="L87" s="13"/>
      <c r="M87" s="13"/>
      <c r="N87" s="13"/>
      <c r="O87" s="13"/>
      <c r="P87" s="13"/>
      <c r="Q87" s="13"/>
      <c r="R87" s="13"/>
      <c r="S87" s="13"/>
      <c r="T87" s="13"/>
      <c r="U87" s="13"/>
      <c r="V87" s="13"/>
      <c r="W87" s="13"/>
      <c r="X87" s="13"/>
      <c r="Y87" s="13"/>
      <c r="Z87" s="13"/>
      <c r="AA87" s="13"/>
      <c r="AB87" s="13"/>
    </row>
    <row r="88" spans="1:28" s="10" customFormat="1" ht="24" customHeight="1" x14ac:dyDescent="0.2">
      <c r="A88" s="1164" t="s">
        <v>129</v>
      </c>
      <c r="B88" s="1164"/>
      <c r="C88" s="1164"/>
      <c r="D88" s="1164"/>
      <c r="E88" s="11"/>
      <c r="F88" s="14"/>
      <c r="G88" s="14"/>
      <c r="H88" s="29"/>
      <c r="I88" s="194"/>
      <c r="J88" s="209">
        <f>SUM(H88:I88)</f>
        <v>0</v>
      </c>
      <c r="K88" s="13"/>
      <c r="L88" s="13"/>
      <c r="M88" s="13"/>
      <c r="N88" s="13"/>
      <c r="O88" s="13"/>
      <c r="P88" s="13"/>
      <c r="Q88" s="13"/>
      <c r="R88" s="13"/>
      <c r="S88" s="13"/>
      <c r="T88" s="13"/>
      <c r="U88" s="13"/>
      <c r="V88" s="13"/>
      <c r="W88" s="13"/>
      <c r="X88" s="13"/>
      <c r="Y88" s="13"/>
      <c r="Z88" s="13"/>
      <c r="AA88" s="13"/>
      <c r="AB88" s="13"/>
    </row>
    <row r="89" spans="1:28" s="10" customFormat="1" x14ac:dyDescent="0.2">
      <c r="A89" s="10" t="s">
        <v>496</v>
      </c>
      <c r="E89" s="11"/>
      <c r="F89" s="14"/>
      <c r="G89" s="7" t="s">
        <v>501</v>
      </c>
      <c r="H89" s="194"/>
      <c r="I89" s="29"/>
      <c r="J89" s="209">
        <f>SUM(H89:I89)</f>
        <v>0</v>
      </c>
      <c r="K89" s="13"/>
      <c r="L89" s="13"/>
      <c r="M89" s="13"/>
      <c r="N89" s="13"/>
      <c r="O89" s="13"/>
      <c r="P89" s="13"/>
      <c r="Q89" s="13"/>
      <c r="R89" s="13"/>
      <c r="S89" s="13"/>
      <c r="T89" s="13"/>
      <c r="U89" s="13"/>
      <c r="V89" s="13"/>
      <c r="W89" s="13"/>
      <c r="X89" s="13"/>
      <c r="Y89" s="13"/>
      <c r="Z89" s="13"/>
      <c r="AA89" s="13"/>
      <c r="AB89" s="13"/>
    </row>
    <row r="90" spans="1:28" s="10" customFormat="1" x14ac:dyDescent="0.2">
      <c r="C90" s="18" t="s">
        <v>623</v>
      </c>
      <c r="E90" s="401"/>
      <c r="F90" s="19"/>
      <c r="G90" s="19"/>
      <c r="H90" s="15">
        <f>SUM(H86:H89)</f>
        <v>0</v>
      </c>
      <c r="I90" s="15">
        <f>SUM(I86:I89)</f>
        <v>0</v>
      </c>
      <c r="J90" s="15">
        <f>SUM(J86:J89)</f>
        <v>0</v>
      </c>
      <c r="K90" s="13"/>
      <c r="L90" s="13"/>
      <c r="M90" s="13"/>
      <c r="N90" s="13"/>
      <c r="O90" s="13"/>
      <c r="P90" s="13"/>
      <c r="Q90" s="13"/>
      <c r="R90" s="13"/>
      <c r="S90" s="13"/>
      <c r="T90" s="13"/>
      <c r="U90" s="13"/>
      <c r="V90" s="13"/>
      <c r="W90" s="13"/>
      <c r="X90" s="13"/>
      <c r="Y90" s="13"/>
      <c r="Z90" s="13"/>
      <c r="AA90" s="13"/>
      <c r="AB90" s="13"/>
    </row>
    <row r="91" spans="1:28" s="10" customFormat="1" x14ac:dyDescent="0.2">
      <c r="C91" s="18"/>
      <c r="E91" s="401"/>
      <c r="F91" s="19"/>
      <c r="G91" s="19"/>
      <c r="H91" s="15"/>
      <c r="I91" s="15"/>
      <c r="J91" s="17"/>
      <c r="K91" s="13"/>
      <c r="L91" s="13"/>
      <c r="M91" s="13"/>
      <c r="N91" s="13"/>
      <c r="O91" s="13"/>
      <c r="P91" s="13"/>
      <c r="Q91" s="13"/>
      <c r="R91" s="13"/>
      <c r="S91" s="13"/>
      <c r="T91" s="13"/>
      <c r="U91" s="13"/>
      <c r="V91" s="13"/>
      <c r="W91" s="13"/>
      <c r="X91" s="13"/>
      <c r="Y91" s="13"/>
      <c r="Z91" s="13"/>
      <c r="AA91" s="13"/>
      <c r="AB91" s="13"/>
    </row>
    <row r="92" spans="1:28" s="10" customFormat="1" x14ac:dyDescent="0.2">
      <c r="A92" s="1135" t="s">
        <v>1718</v>
      </c>
      <c r="E92" s="2" t="s">
        <v>1835</v>
      </c>
      <c r="F92" s="11"/>
      <c r="G92" s="266" t="s">
        <v>1836</v>
      </c>
      <c r="H92" s="29"/>
      <c r="I92" s="29"/>
      <c r="J92" s="209">
        <f>SUM(H92:I92)</f>
        <v>0</v>
      </c>
      <c r="K92" s="13"/>
      <c r="L92" s="13"/>
      <c r="M92" s="13"/>
      <c r="N92" s="13"/>
      <c r="O92" s="13"/>
      <c r="P92" s="13"/>
      <c r="Q92" s="13"/>
      <c r="R92" s="13"/>
      <c r="S92" s="13"/>
      <c r="T92" s="13"/>
      <c r="U92" s="13"/>
      <c r="V92" s="13"/>
      <c r="W92" s="13"/>
      <c r="X92" s="13"/>
      <c r="Y92" s="13"/>
      <c r="Z92" s="13"/>
      <c r="AA92" s="13"/>
      <c r="AB92" s="13"/>
    </row>
    <row r="93" spans="1:28" s="10" customFormat="1" x14ac:dyDescent="0.2">
      <c r="A93" s="18" t="s">
        <v>190</v>
      </c>
      <c r="E93" s="11"/>
      <c r="F93" s="14"/>
      <c r="G93" s="14"/>
      <c r="H93" s="29"/>
      <c r="I93" s="29"/>
      <c r="J93" s="209">
        <f>SUM(H93:I93)</f>
        <v>0</v>
      </c>
      <c r="K93" s="13"/>
      <c r="L93" s="13"/>
      <c r="M93" s="13"/>
      <c r="N93" s="13"/>
      <c r="O93" s="13"/>
      <c r="P93" s="13"/>
      <c r="Q93" s="13"/>
      <c r="R93" s="13"/>
      <c r="S93" s="13"/>
      <c r="T93" s="13"/>
      <c r="U93" s="13"/>
      <c r="V93" s="13"/>
      <c r="W93" s="13"/>
      <c r="X93" s="13"/>
      <c r="Y93" s="13"/>
      <c r="Z93" s="13"/>
      <c r="AA93" s="13"/>
      <c r="AB93" s="13"/>
    </row>
    <row r="94" spans="1:28" s="10" customFormat="1" x14ac:dyDescent="0.2">
      <c r="E94" s="11"/>
      <c r="F94" s="11"/>
      <c r="G94" s="11"/>
      <c r="H94" s="12"/>
      <c r="I94" s="12"/>
      <c r="J94" s="12"/>
      <c r="K94" s="13"/>
      <c r="L94" s="13"/>
      <c r="M94" s="13"/>
      <c r="N94" s="13"/>
      <c r="O94" s="13"/>
      <c r="P94" s="13"/>
      <c r="Q94" s="13"/>
      <c r="R94" s="13"/>
      <c r="S94" s="13"/>
      <c r="T94" s="13"/>
      <c r="U94" s="13"/>
      <c r="V94" s="13"/>
      <c r="W94" s="13"/>
      <c r="X94" s="13"/>
      <c r="Y94" s="13"/>
      <c r="Z94" s="13"/>
      <c r="AA94" s="13"/>
      <c r="AB94" s="13"/>
    </row>
    <row r="95" spans="1:28" s="10" customFormat="1" hidden="1" x14ac:dyDescent="0.2">
      <c r="E95" s="7"/>
      <c r="F95" s="11"/>
      <c r="G95" s="11"/>
      <c r="H95" s="12"/>
      <c r="I95" s="12"/>
      <c r="J95" s="12"/>
      <c r="K95" s="13"/>
      <c r="L95" s="13"/>
      <c r="M95" s="13"/>
      <c r="N95" s="13"/>
      <c r="O95" s="13"/>
      <c r="P95" s="13"/>
      <c r="Q95" s="13"/>
      <c r="R95" s="13"/>
      <c r="S95" s="13"/>
      <c r="T95" s="13"/>
      <c r="U95" s="13"/>
      <c r="V95" s="13"/>
      <c r="W95" s="13"/>
      <c r="X95" s="13"/>
      <c r="Y95" s="13"/>
      <c r="Z95" s="13"/>
      <c r="AA95" s="13"/>
      <c r="AB95" s="13"/>
    </row>
    <row r="96" spans="1:28" s="10" customFormat="1" hidden="1" x14ac:dyDescent="0.2">
      <c r="E96" s="266"/>
      <c r="F96" s="14"/>
      <c r="G96" s="7"/>
      <c r="H96" s="7"/>
      <c r="I96" s="7"/>
      <c r="J96" s="209"/>
      <c r="K96" s="13"/>
      <c r="L96" s="13"/>
      <c r="M96" s="13"/>
      <c r="N96" s="13"/>
      <c r="O96" s="13"/>
      <c r="P96" s="13"/>
      <c r="Q96" s="13"/>
      <c r="R96" s="13"/>
      <c r="S96" s="13"/>
      <c r="T96" s="13"/>
      <c r="U96" s="13"/>
      <c r="V96" s="13"/>
      <c r="W96" s="13"/>
      <c r="X96" s="13"/>
      <c r="Y96" s="13"/>
      <c r="Z96" s="13"/>
      <c r="AA96" s="13"/>
      <c r="AB96" s="13"/>
    </row>
    <row r="97" spans="1:28" s="10" customFormat="1" hidden="1" x14ac:dyDescent="0.2">
      <c r="E97" s="266"/>
      <c r="F97" s="14"/>
      <c r="G97" s="7"/>
      <c r="H97" s="7"/>
      <c r="I97" s="7"/>
      <c r="J97" s="209"/>
      <c r="K97" s="13"/>
      <c r="L97" s="13"/>
      <c r="M97" s="13"/>
      <c r="N97" s="13"/>
      <c r="O97" s="13"/>
      <c r="P97" s="13"/>
      <c r="Q97" s="13"/>
      <c r="R97" s="13"/>
      <c r="S97" s="13"/>
      <c r="T97" s="13"/>
      <c r="U97" s="13"/>
      <c r="V97" s="13"/>
      <c r="W97" s="13"/>
      <c r="X97" s="13"/>
      <c r="Y97" s="13"/>
      <c r="Z97" s="13"/>
      <c r="AA97" s="13"/>
      <c r="AB97" s="13"/>
    </row>
    <row r="98" spans="1:28" s="10" customFormat="1" ht="24" hidden="1" customHeight="1" x14ac:dyDescent="0.2">
      <c r="B98" s="1164"/>
      <c r="C98" s="1164"/>
      <c r="D98" s="1164"/>
      <c r="E98" s="266"/>
      <c r="F98" s="14"/>
      <c r="G98" s="7"/>
      <c r="H98" s="7"/>
      <c r="I98" s="7"/>
      <c r="J98" s="209"/>
      <c r="K98" s="13"/>
      <c r="L98" s="13"/>
      <c r="M98" s="13"/>
      <c r="N98" s="13"/>
      <c r="O98" s="13"/>
      <c r="P98" s="13"/>
      <c r="Q98" s="13"/>
      <c r="R98" s="13"/>
      <c r="S98" s="13"/>
      <c r="T98" s="13"/>
      <c r="U98" s="13"/>
      <c r="V98" s="13"/>
      <c r="W98" s="13"/>
      <c r="X98" s="13"/>
      <c r="Y98" s="13"/>
      <c r="Z98" s="13"/>
      <c r="AA98" s="13"/>
      <c r="AB98" s="13"/>
    </row>
    <row r="99" spans="1:28" s="10" customFormat="1" hidden="1" x14ac:dyDescent="0.2">
      <c r="E99" s="266"/>
      <c r="F99" s="14"/>
      <c r="G99" s="7"/>
      <c r="H99" s="7"/>
      <c r="I99" s="7"/>
      <c r="J99" s="209"/>
      <c r="K99" s="13"/>
      <c r="L99" s="13"/>
      <c r="M99" s="13"/>
      <c r="N99" s="13"/>
      <c r="O99" s="13"/>
      <c r="P99" s="13"/>
      <c r="Q99" s="13"/>
      <c r="R99" s="13"/>
      <c r="S99" s="13"/>
      <c r="T99" s="13"/>
      <c r="U99" s="13"/>
      <c r="V99" s="13"/>
      <c r="W99" s="13"/>
      <c r="X99" s="13"/>
      <c r="Y99" s="13"/>
      <c r="Z99" s="13"/>
      <c r="AA99" s="13"/>
      <c r="AB99" s="13"/>
    </row>
    <row r="100" spans="1:28" s="10" customFormat="1" hidden="1" x14ac:dyDescent="0.2">
      <c r="B100" s="211"/>
      <c r="G100" s="7"/>
      <c r="H100" s="7"/>
      <c r="I100" s="7"/>
      <c r="J100" s="209"/>
      <c r="K100" s="13"/>
      <c r="L100" s="13"/>
      <c r="M100" s="13"/>
      <c r="N100" s="13"/>
      <c r="O100" s="13"/>
      <c r="P100" s="13"/>
      <c r="Q100" s="13"/>
      <c r="R100" s="13"/>
      <c r="S100" s="13"/>
      <c r="T100" s="13"/>
      <c r="U100" s="13"/>
      <c r="V100" s="13"/>
      <c r="W100" s="13"/>
      <c r="X100" s="13"/>
      <c r="Y100" s="13"/>
      <c r="Z100" s="13"/>
      <c r="AA100" s="13"/>
      <c r="AB100" s="13"/>
    </row>
    <row r="101" spans="1:28" s="10" customFormat="1" hidden="1" x14ac:dyDescent="0.2">
      <c r="G101" s="7"/>
      <c r="H101" s="7"/>
      <c r="I101" s="7"/>
      <c r="J101" s="209"/>
      <c r="K101" s="13"/>
      <c r="L101" s="13"/>
      <c r="M101" s="13"/>
      <c r="N101" s="13"/>
      <c r="O101" s="13"/>
      <c r="P101" s="13"/>
      <c r="Q101" s="13"/>
      <c r="R101" s="13"/>
      <c r="S101" s="13"/>
      <c r="T101" s="13"/>
      <c r="U101" s="13"/>
      <c r="V101" s="13"/>
      <c r="W101" s="13"/>
      <c r="X101" s="13"/>
      <c r="Y101" s="13"/>
      <c r="Z101" s="13"/>
      <c r="AA101" s="13"/>
      <c r="AB101" s="13"/>
    </row>
    <row r="102" spans="1:28" s="10" customFormat="1" x14ac:dyDescent="0.2">
      <c r="A102" s="18" t="s">
        <v>1433</v>
      </c>
      <c r="C102" s="18"/>
      <c r="D102" s="18"/>
      <c r="E102" s="266" t="s">
        <v>1452</v>
      </c>
      <c r="F102" s="11"/>
      <c r="G102" s="266" t="s">
        <v>1471</v>
      </c>
      <c r="H102" s="29"/>
      <c r="I102" s="29"/>
      <c r="J102" s="394">
        <f>SUM(H102:I102)</f>
        <v>0</v>
      </c>
      <c r="K102" s="13"/>
      <c r="L102" s="13"/>
      <c r="M102" s="13"/>
      <c r="N102" s="13"/>
      <c r="O102" s="13"/>
      <c r="P102" s="13"/>
      <c r="Q102" s="13"/>
      <c r="R102" s="13"/>
      <c r="S102" s="13"/>
      <c r="T102" s="13"/>
      <c r="U102" s="13"/>
      <c r="V102" s="13"/>
      <c r="W102" s="13"/>
      <c r="X102" s="13"/>
      <c r="Y102" s="13"/>
      <c r="Z102" s="13"/>
      <c r="AA102" s="13"/>
      <c r="AB102" s="13"/>
    </row>
    <row r="103" spans="1:28" s="10" customFormat="1" hidden="1" x14ac:dyDescent="0.2">
      <c r="E103" s="266" t="s">
        <v>1453</v>
      </c>
      <c r="F103" s="11"/>
      <c r="G103" s="266" t="s">
        <v>1444</v>
      </c>
      <c r="H103" s="209"/>
      <c r="I103" s="209"/>
      <c r="J103" s="17"/>
      <c r="K103" s="13"/>
      <c r="L103" s="13"/>
      <c r="M103" s="13"/>
      <c r="N103" s="13"/>
      <c r="O103" s="13"/>
      <c r="P103" s="13"/>
      <c r="Q103" s="13"/>
      <c r="R103" s="13"/>
      <c r="S103" s="13"/>
      <c r="T103" s="13"/>
      <c r="U103" s="13"/>
      <c r="V103" s="13"/>
      <c r="W103" s="13"/>
      <c r="X103" s="13"/>
      <c r="Y103" s="13"/>
      <c r="Z103" s="13"/>
      <c r="AA103" s="13"/>
      <c r="AB103" s="13"/>
    </row>
    <row r="104" spans="1:28" s="10" customFormat="1" hidden="1" x14ac:dyDescent="0.2">
      <c r="E104" s="266" t="s">
        <v>1454</v>
      </c>
      <c r="F104" s="14"/>
      <c r="G104" s="266" t="s">
        <v>1445</v>
      </c>
      <c r="H104" s="7"/>
      <c r="I104" s="7"/>
      <c r="J104" s="209"/>
      <c r="K104" s="13"/>
      <c r="L104" s="13"/>
      <c r="M104" s="13"/>
      <c r="N104" s="13"/>
      <c r="O104" s="13"/>
      <c r="P104" s="13"/>
      <c r="Q104" s="13"/>
      <c r="R104" s="13"/>
      <c r="S104" s="13"/>
      <c r="T104" s="13"/>
      <c r="U104" s="13"/>
      <c r="V104" s="13"/>
      <c r="W104" s="13"/>
      <c r="X104" s="13"/>
      <c r="Y104" s="13"/>
      <c r="Z104" s="13"/>
      <c r="AA104" s="13"/>
      <c r="AB104" s="13"/>
    </row>
    <row r="105" spans="1:28" s="10" customFormat="1" hidden="1" x14ac:dyDescent="0.2">
      <c r="E105" s="266" t="s">
        <v>1455</v>
      </c>
      <c r="F105" s="14"/>
      <c r="G105" s="266" t="s">
        <v>1446</v>
      </c>
      <c r="H105" s="7"/>
      <c r="I105" s="7"/>
      <c r="J105" s="209"/>
      <c r="K105" s="13"/>
      <c r="L105" s="13"/>
      <c r="M105" s="13"/>
      <c r="N105" s="13"/>
      <c r="O105" s="13"/>
      <c r="P105" s="13"/>
      <c r="Q105" s="13"/>
      <c r="R105" s="13"/>
      <c r="S105" s="13"/>
      <c r="T105" s="13"/>
      <c r="U105" s="13"/>
      <c r="V105" s="13"/>
      <c r="W105" s="13"/>
      <c r="X105" s="13"/>
      <c r="Y105" s="13"/>
      <c r="Z105" s="13"/>
      <c r="AA105" s="13"/>
      <c r="AB105" s="13"/>
    </row>
    <row r="106" spans="1:28" s="10" customFormat="1" hidden="1" x14ac:dyDescent="0.2">
      <c r="E106" s="266" t="s">
        <v>1456</v>
      </c>
      <c r="F106" s="14"/>
      <c r="G106" s="266" t="s">
        <v>1447</v>
      </c>
      <c r="H106" s="7"/>
      <c r="I106" s="7"/>
      <c r="J106" s="209"/>
      <c r="K106" s="13"/>
      <c r="L106" s="13"/>
      <c r="M106" s="13"/>
      <c r="N106" s="13"/>
      <c r="O106" s="13"/>
      <c r="P106" s="13"/>
      <c r="Q106" s="13"/>
      <c r="R106" s="13"/>
      <c r="S106" s="13"/>
      <c r="T106" s="13"/>
      <c r="U106" s="13"/>
      <c r="V106" s="13"/>
      <c r="W106" s="13"/>
      <c r="X106" s="13"/>
      <c r="Y106" s="13"/>
      <c r="Z106" s="13"/>
      <c r="AA106" s="13"/>
      <c r="AB106" s="13"/>
    </row>
    <row r="107" spans="1:28" s="10" customFormat="1" hidden="1" x14ac:dyDescent="0.2">
      <c r="E107" s="266" t="s">
        <v>1457</v>
      </c>
      <c r="F107" s="14"/>
      <c r="G107" s="266" t="s">
        <v>1448</v>
      </c>
      <c r="H107" s="7"/>
      <c r="I107" s="7"/>
      <c r="J107" s="209"/>
      <c r="K107" s="13"/>
      <c r="L107" s="13"/>
      <c r="M107" s="13"/>
      <c r="N107" s="13"/>
      <c r="O107" s="13"/>
      <c r="P107" s="13"/>
      <c r="Q107" s="13"/>
      <c r="R107" s="13"/>
      <c r="S107" s="13"/>
      <c r="T107" s="13"/>
      <c r="U107" s="13"/>
      <c r="V107" s="13"/>
      <c r="W107" s="13"/>
      <c r="X107" s="13"/>
      <c r="Y107" s="13"/>
      <c r="Z107" s="13"/>
      <c r="AA107" s="13"/>
      <c r="AB107" s="13"/>
    </row>
    <row r="108" spans="1:28" s="10" customFormat="1" ht="24.75" hidden="1" customHeight="1" x14ac:dyDescent="0.2">
      <c r="B108" s="1164"/>
      <c r="C108" s="1164"/>
      <c r="D108" s="1164"/>
      <c r="E108" s="266" t="s">
        <v>1458</v>
      </c>
      <c r="F108" s="14"/>
      <c r="G108" s="266" t="s">
        <v>1449</v>
      </c>
      <c r="H108" s="7"/>
      <c r="I108" s="7"/>
      <c r="J108" s="209"/>
      <c r="K108" s="13"/>
      <c r="L108" s="13"/>
      <c r="M108" s="13"/>
      <c r="N108" s="13"/>
      <c r="O108" s="13"/>
      <c r="P108" s="13"/>
      <c r="Q108" s="13"/>
      <c r="R108" s="13"/>
      <c r="S108" s="13"/>
      <c r="T108" s="13"/>
      <c r="U108" s="13"/>
      <c r="V108" s="13"/>
      <c r="W108" s="13"/>
      <c r="X108" s="13"/>
      <c r="Y108" s="13"/>
      <c r="Z108" s="13"/>
      <c r="AA108" s="13"/>
      <c r="AB108" s="13"/>
    </row>
    <row r="109" spans="1:28" s="10" customFormat="1" hidden="1" x14ac:dyDescent="0.2">
      <c r="E109" s="266" t="s">
        <v>1459</v>
      </c>
      <c r="F109" s="14"/>
      <c r="G109" s="266" t="s">
        <v>1450</v>
      </c>
      <c r="H109" s="7"/>
      <c r="I109" s="7"/>
      <c r="J109" s="209"/>
      <c r="K109" s="13"/>
      <c r="L109" s="13"/>
      <c r="M109" s="13"/>
      <c r="N109" s="13"/>
      <c r="O109" s="13"/>
      <c r="P109" s="13"/>
      <c r="Q109" s="13"/>
      <c r="R109" s="13"/>
      <c r="S109" s="13"/>
      <c r="T109" s="13"/>
      <c r="U109" s="13"/>
      <c r="V109" s="13"/>
      <c r="W109" s="13"/>
      <c r="X109" s="13"/>
      <c r="Y109" s="13"/>
      <c r="Z109" s="13"/>
      <c r="AA109" s="13"/>
      <c r="AB109" s="13"/>
    </row>
    <row r="110" spans="1:28" s="10" customFormat="1" hidden="1" x14ac:dyDescent="0.2">
      <c r="B110" s="211"/>
      <c r="E110" s="266" t="s">
        <v>1460</v>
      </c>
      <c r="F110" s="14"/>
      <c r="G110" s="266" t="s">
        <v>1451</v>
      </c>
      <c r="H110" s="7"/>
      <c r="I110" s="7"/>
      <c r="J110" s="209"/>
      <c r="K110" s="13"/>
      <c r="L110" s="13"/>
      <c r="M110" s="13"/>
      <c r="N110" s="13"/>
      <c r="O110" s="13"/>
      <c r="P110" s="13"/>
      <c r="Q110" s="13"/>
      <c r="R110" s="13"/>
      <c r="S110" s="13"/>
      <c r="T110" s="13"/>
      <c r="U110" s="13"/>
      <c r="V110" s="13"/>
      <c r="W110" s="13"/>
      <c r="X110" s="13"/>
      <c r="Y110" s="13"/>
      <c r="Z110" s="13"/>
      <c r="AA110" s="13"/>
      <c r="AB110" s="13"/>
    </row>
    <row r="111" spans="1:28" s="10" customFormat="1" hidden="1" x14ac:dyDescent="0.2">
      <c r="E111" s="266" t="s">
        <v>1461</v>
      </c>
      <c r="F111" s="14"/>
      <c r="G111" s="266" t="s">
        <v>1466</v>
      </c>
      <c r="H111" s="7"/>
      <c r="I111" s="7"/>
      <c r="J111" s="209"/>
      <c r="K111" s="13"/>
      <c r="L111" s="13"/>
      <c r="M111" s="13"/>
      <c r="N111" s="13"/>
      <c r="O111" s="13"/>
      <c r="P111" s="13"/>
      <c r="Q111" s="13"/>
      <c r="R111" s="13"/>
      <c r="S111" s="13"/>
      <c r="T111" s="13"/>
      <c r="U111" s="13"/>
      <c r="V111" s="13"/>
      <c r="W111" s="13"/>
      <c r="X111" s="13"/>
      <c r="Y111" s="13"/>
      <c r="Z111" s="13"/>
      <c r="AA111" s="13"/>
      <c r="AB111" s="13"/>
    </row>
    <row r="112" spans="1:28" s="10" customFormat="1" hidden="1" x14ac:dyDescent="0.2">
      <c r="E112" s="266" t="s">
        <v>1462</v>
      </c>
      <c r="F112" s="14"/>
      <c r="G112" s="266" t="s">
        <v>1467</v>
      </c>
      <c r="H112" s="7"/>
      <c r="I112" s="7"/>
      <c r="J112" s="209"/>
      <c r="K112" s="13"/>
      <c r="L112" s="13"/>
      <c r="M112" s="13"/>
      <c r="N112" s="13"/>
      <c r="O112" s="13"/>
      <c r="P112" s="13"/>
      <c r="Q112" s="13"/>
      <c r="R112" s="13"/>
      <c r="S112" s="13"/>
      <c r="T112" s="13"/>
      <c r="U112" s="13"/>
      <c r="V112" s="13"/>
      <c r="W112" s="13"/>
      <c r="X112" s="13"/>
      <c r="Y112" s="13"/>
      <c r="Z112" s="13"/>
      <c r="AA112" s="13"/>
      <c r="AB112" s="13"/>
    </row>
    <row r="113" spans="1:28" s="10" customFormat="1" hidden="1" x14ac:dyDescent="0.2">
      <c r="E113" s="266" t="s">
        <v>1463</v>
      </c>
      <c r="F113" s="14"/>
      <c r="G113" s="266" t="s">
        <v>1468</v>
      </c>
      <c r="H113" s="7"/>
      <c r="I113" s="7"/>
      <c r="J113" s="209"/>
      <c r="K113" s="13"/>
      <c r="L113" s="13"/>
      <c r="M113" s="13"/>
      <c r="N113" s="13"/>
      <c r="O113" s="13"/>
      <c r="P113" s="13"/>
      <c r="Q113" s="13"/>
      <c r="R113" s="13"/>
      <c r="S113" s="13"/>
      <c r="T113" s="13"/>
      <c r="U113" s="13"/>
      <c r="V113" s="13"/>
      <c r="W113" s="13"/>
      <c r="X113" s="13"/>
      <c r="Y113" s="13"/>
      <c r="Z113" s="13"/>
      <c r="AA113" s="13"/>
      <c r="AB113" s="13"/>
    </row>
    <row r="114" spans="1:28" s="10" customFormat="1" hidden="1" x14ac:dyDescent="0.2">
      <c r="E114" s="266" t="s">
        <v>1464</v>
      </c>
      <c r="F114" s="14"/>
      <c r="G114" s="266" t="s">
        <v>1469</v>
      </c>
      <c r="H114" s="7"/>
      <c r="I114" s="7"/>
      <c r="J114" s="209"/>
      <c r="K114" s="13"/>
      <c r="L114" s="13"/>
      <c r="M114" s="13"/>
      <c r="N114" s="13"/>
      <c r="O114" s="13"/>
      <c r="P114" s="13"/>
      <c r="Q114" s="13"/>
      <c r="R114" s="13"/>
      <c r="S114" s="13"/>
      <c r="T114" s="13"/>
      <c r="U114" s="13"/>
      <c r="V114" s="13"/>
      <c r="W114" s="13"/>
      <c r="X114" s="13"/>
      <c r="Y114" s="13"/>
      <c r="Z114" s="13"/>
      <c r="AA114" s="13"/>
      <c r="AB114" s="13"/>
    </row>
    <row r="115" spans="1:28" s="10" customFormat="1" hidden="1" x14ac:dyDescent="0.2">
      <c r="E115" s="266" t="s">
        <v>1465</v>
      </c>
      <c r="F115" s="14"/>
      <c r="G115" s="266" t="s">
        <v>1470</v>
      </c>
      <c r="H115" s="7"/>
      <c r="I115" s="7"/>
      <c r="J115" s="209"/>
      <c r="K115" s="13"/>
      <c r="L115" s="13"/>
      <c r="M115" s="13"/>
      <c r="N115" s="13"/>
      <c r="O115" s="13"/>
      <c r="P115" s="13"/>
      <c r="Q115" s="13"/>
      <c r="R115" s="13"/>
      <c r="S115" s="13"/>
      <c r="T115" s="13"/>
      <c r="U115" s="13"/>
      <c r="V115" s="13"/>
      <c r="W115" s="13"/>
      <c r="X115" s="13"/>
      <c r="Y115" s="13"/>
      <c r="Z115" s="13"/>
      <c r="AA115" s="13"/>
      <c r="AB115" s="13"/>
    </row>
    <row r="116" spans="1:28" s="10" customFormat="1" x14ac:dyDescent="0.2">
      <c r="A116" s="18" t="s">
        <v>1435</v>
      </c>
      <c r="C116" s="18"/>
      <c r="D116" s="18"/>
      <c r="E116" s="266" t="s">
        <v>1452</v>
      </c>
      <c r="F116" s="11"/>
      <c r="G116" s="266" t="s">
        <v>1471</v>
      </c>
      <c r="H116" s="29"/>
      <c r="I116" s="29"/>
      <c r="J116" s="394">
        <f>SUM(H116:I116)</f>
        <v>0</v>
      </c>
      <c r="K116" s="13"/>
      <c r="L116" s="13"/>
      <c r="M116" s="13"/>
      <c r="N116" s="13"/>
      <c r="O116" s="13"/>
      <c r="P116" s="13"/>
      <c r="Q116" s="13"/>
      <c r="R116" s="13"/>
      <c r="S116" s="13"/>
      <c r="T116" s="13"/>
      <c r="U116" s="13"/>
      <c r="V116" s="13"/>
      <c r="W116" s="13"/>
      <c r="X116" s="13"/>
      <c r="Y116" s="13"/>
      <c r="Z116" s="13"/>
      <c r="AA116" s="13"/>
      <c r="AB116" s="13"/>
    </row>
    <row r="117" spans="1:28" s="10" customFormat="1" x14ac:dyDescent="0.2">
      <c r="E117" s="7"/>
      <c r="F117" s="11"/>
      <c r="G117" s="7"/>
      <c r="H117" s="12"/>
      <c r="I117" s="12"/>
      <c r="J117" s="12"/>
      <c r="K117" s="13"/>
      <c r="L117" s="13"/>
      <c r="M117" s="13"/>
      <c r="N117" s="13"/>
      <c r="O117" s="13"/>
      <c r="P117" s="13"/>
      <c r="Q117" s="13"/>
      <c r="R117" s="13"/>
      <c r="S117" s="13"/>
      <c r="T117" s="13"/>
      <c r="U117" s="13"/>
      <c r="V117" s="13"/>
      <c r="W117" s="13"/>
      <c r="X117" s="13"/>
      <c r="Y117" s="13"/>
      <c r="Z117" s="13"/>
      <c r="AA117" s="13"/>
      <c r="AB117" s="13"/>
    </row>
    <row r="118" spans="1:28" s="10" customFormat="1" x14ac:dyDescent="0.2">
      <c r="D118" s="10" t="s">
        <v>720</v>
      </c>
      <c r="E118" s="11"/>
      <c r="F118" s="11"/>
      <c r="G118" s="7"/>
      <c r="H118" s="15">
        <f>SUM(H35,H43,H46:H53,H56:H60,H62:H63,H69,H71,H72,H83,H90,H92,H93,H102,H116)</f>
        <v>0</v>
      </c>
      <c r="I118" s="15">
        <f>SUM(I35,I43,I46:I53,I56:I60,I62:I63,I69,I71,I72,I83,I90,I92,I93,I102,I116)</f>
        <v>0</v>
      </c>
      <c r="J118" s="15">
        <f>SUM(J35,J43,J46:J53,J56:J60,J62:J63,J69,J71,J72,J83,J90,J92,J93,J102,J116)</f>
        <v>0</v>
      </c>
      <c r="K118" s="13"/>
      <c r="L118" s="13"/>
      <c r="M118" s="13"/>
      <c r="N118" s="13"/>
      <c r="O118" s="13"/>
      <c r="P118" s="13"/>
      <c r="Q118" s="13"/>
      <c r="R118" s="13"/>
      <c r="S118" s="13"/>
      <c r="T118" s="13"/>
      <c r="U118" s="13"/>
      <c r="V118" s="13"/>
      <c r="W118" s="13"/>
      <c r="X118" s="13"/>
      <c r="Y118" s="13"/>
      <c r="Z118" s="13"/>
      <c r="AA118" s="13"/>
      <c r="AB118" s="13"/>
    </row>
    <row r="119" spans="1:28" s="10" customFormat="1" x14ac:dyDescent="0.2">
      <c r="E119" s="11"/>
      <c r="F119" s="11"/>
      <c r="G119" s="7"/>
      <c r="H119" s="17"/>
      <c r="I119" s="17"/>
      <c r="J119" s="17"/>
      <c r="K119" s="13"/>
      <c r="L119" s="13"/>
      <c r="M119" s="13"/>
      <c r="N119" s="13"/>
      <c r="O119" s="13"/>
      <c r="P119" s="13"/>
      <c r="Q119" s="13"/>
      <c r="R119" s="13"/>
      <c r="S119" s="13"/>
      <c r="T119" s="13"/>
      <c r="U119" s="13"/>
      <c r="V119" s="13"/>
      <c r="W119" s="13"/>
      <c r="X119" s="13"/>
      <c r="Y119" s="13"/>
      <c r="Z119" s="13"/>
      <c r="AA119" s="13"/>
      <c r="AB119" s="13"/>
    </row>
    <row r="120" spans="1:28" s="10" customFormat="1" x14ac:dyDescent="0.2">
      <c r="A120" s="1" t="s">
        <v>850</v>
      </c>
      <c r="E120" s="11"/>
      <c r="F120" s="11"/>
      <c r="G120" s="7"/>
      <c r="H120" s="29"/>
      <c r="I120" s="194"/>
      <c r="J120" s="209">
        <f>SUM(H120:I120)</f>
        <v>0</v>
      </c>
      <c r="K120" s="13"/>
      <c r="L120" s="13"/>
      <c r="M120" s="13"/>
      <c r="N120" s="13"/>
      <c r="O120" s="13"/>
      <c r="P120" s="13"/>
      <c r="Q120" s="13"/>
      <c r="R120" s="13"/>
      <c r="S120" s="13"/>
      <c r="T120" s="13"/>
      <c r="U120" s="13"/>
      <c r="V120" s="13"/>
      <c r="W120" s="13"/>
      <c r="X120" s="13"/>
      <c r="Y120" s="13"/>
      <c r="Z120" s="13"/>
      <c r="AA120" s="13"/>
      <c r="AB120" s="13"/>
    </row>
    <row r="121" spans="1:28" s="10" customFormat="1" x14ac:dyDescent="0.2">
      <c r="E121" s="11"/>
      <c r="F121" s="11"/>
      <c r="G121" s="7"/>
      <c r="H121" s="17"/>
      <c r="I121" s="17"/>
      <c r="J121" s="17"/>
      <c r="K121" s="13"/>
      <c r="L121" s="13"/>
      <c r="M121" s="13"/>
      <c r="N121" s="13"/>
      <c r="O121" s="13"/>
      <c r="P121" s="13"/>
      <c r="Q121" s="13"/>
      <c r="R121" s="13"/>
      <c r="S121" s="13"/>
      <c r="T121" s="13"/>
      <c r="U121" s="13"/>
      <c r="V121" s="13"/>
      <c r="W121" s="13"/>
      <c r="X121" s="13"/>
      <c r="Y121" s="13"/>
      <c r="Z121" s="13"/>
      <c r="AA121" s="13"/>
      <c r="AB121" s="13"/>
    </row>
    <row r="122" spans="1:28" s="10" customFormat="1" ht="12.75" thickBot="1" x14ac:dyDescent="0.25">
      <c r="D122" s="211" t="s">
        <v>890</v>
      </c>
      <c r="E122" s="11"/>
      <c r="F122" s="11"/>
      <c r="G122" s="7"/>
      <c r="H122" s="20">
        <f>SUM(H118,H120)</f>
        <v>0</v>
      </c>
      <c r="I122" s="20">
        <f>SUM(I118,I120)</f>
        <v>0</v>
      </c>
      <c r="J122" s="20">
        <f>SUM(J118,J120)</f>
        <v>0</v>
      </c>
      <c r="K122" s="13"/>
      <c r="L122" s="13"/>
      <c r="M122" s="13"/>
      <c r="N122" s="13"/>
      <c r="O122" s="13"/>
      <c r="P122" s="13"/>
      <c r="Q122" s="13"/>
      <c r="R122" s="13"/>
      <c r="S122" s="13"/>
      <c r="T122" s="13"/>
      <c r="U122" s="13"/>
      <c r="V122" s="13"/>
      <c r="W122" s="13"/>
      <c r="X122" s="13"/>
      <c r="Y122" s="13"/>
      <c r="Z122" s="13"/>
      <c r="AA122" s="13"/>
      <c r="AB122" s="13"/>
    </row>
    <row r="123" spans="1:28" s="10" customFormat="1" ht="18.75" customHeight="1" thickTop="1" x14ac:dyDescent="0.2">
      <c r="A123" s="1" t="s">
        <v>892</v>
      </c>
      <c r="E123" s="11"/>
      <c r="F123" s="11"/>
      <c r="G123" s="11"/>
      <c r="H123" s="12"/>
      <c r="I123" s="12"/>
      <c r="J123" s="12"/>
      <c r="K123" s="13"/>
      <c r="L123" s="13"/>
      <c r="M123" s="13"/>
      <c r="N123" s="13"/>
      <c r="O123" s="13"/>
      <c r="P123" s="13"/>
      <c r="Q123" s="13"/>
      <c r="R123" s="13"/>
      <c r="S123" s="13"/>
      <c r="T123" s="13"/>
      <c r="U123" s="13"/>
      <c r="V123" s="13"/>
      <c r="W123" s="13"/>
      <c r="X123" s="13"/>
      <c r="Y123" s="13"/>
      <c r="Z123" s="13"/>
      <c r="AA123" s="13"/>
      <c r="AB123" s="13"/>
    </row>
    <row r="124" spans="1:28" s="10" customFormat="1" x14ac:dyDescent="0.2">
      <c r="A124" s="1" t="s">
        <v>721</v>
      </c>
      <c r="E124" s="11"/>
      <c r="F124" s="11"/>
      <c r="G124" s="11"/>
      <c r="H124" s="12"/>
      <c r="I124" s="12"/>
      <c r="J124" s="12"/>
      <c r="K124" s="13"/>
      <c r="L124" s="13"/>
      <c r="M124" s="13"/>
      <c r="N124" s="13"/>
      <c r="O124" s="13"/>
      <c r="P124" s="13"/>
      <c r="Q124" s="13"/>
      <c r="R124" s="13"/>
      <c r="S124" s="13"/>
      <c r="T124" s="13"/>
      <c r="U124" s="13"/>
      <c r="V124" s="13"/>
      <c r="W124" s="13"/>
      <c r="X124" s="13"/>
      <c r="Y124" s="13"/>
      <c r="Z124" s="13"/>
      <c r="AA124" s="13"/>
      <c r="AB124" s="13"/>
    </row>
    <row r="125" spans="1:28" s="10" customFormat="1" x14ac:dyDescent="0.2">
      <c r="A125" s="10" t="s">
        <v>212</v>
      </c>
      <c r="E125" s="11"/>
      <c r="F125" s="14"/>
      <c r="G125" s="14"/>
      <c r="H125" s="209"/>
      <c r="I125" s="209"/>
      <c r="J125" s="209"/>
      <c r="K125" s="13"/>
      <c r="L125" s="13"/>
      <c r="M125" s="13"/>
      <c r="N125" s="13"/>
      <c r="O125" s="13"/>
      <c r="P125" s="13"/>
      <c r="Q125" s="13"/>
      <c r="R125" s="13"/>
      <c r="S125" s="13"/>
      <c r="T125" s="13"/>
      <c r="U125" s="13"/>
      <c r="V125" s="13"/>
      <c r="W125" s="13"/>
      <c r="X125" s="13"/>
      <c r="Y125" s="13"/>
      <c r="Z125" s="13"/>
      <c r="AA125" s="13"/>
      <c r="AB125" s="13"/>
    </row>
    <row r="126" spans="1:28" s="10" customFormat="1" x14ac:dyDescent="0.2">
      <c r="B126" s="211" t="s">
        <v>293</v>
      </c>
      <c r="C126" s="211"/>
      <c r="D126" s="211"/>
      <c r="E126" s="11"/>
      <c r="F126" s="14"/>
      <c r="G126" s="14"/>
      <c r="H126" s="29"/>
      <c r="I126" s="194"/>
      <c r="J126" s="209">
        <f t="shared" ref="J126:J132" si="2">SUM(H126:I126)</f>
        <v>0</v>
      </c>
      <c r="K126" s="13"/>
      <c r="L126" s="13"/>
      <c r="M126" s="13"/>
      <c r="N126" s="13"/>
      <c r="O126" s="13"/>
      <c r="P126" s="13"/>
      <c r="Q126" s="13"/>
      <c r="R126" s="13"/>
      <c r="S126" s="13"/>
      <c r="T126" s="13"/>
      <c r="U126" s="13"/>
      <c r="V126" s="13"/>
      <c r="W126" s="13"/>
      <c r="X126" s="13"/>
      <c r="Y126" s="13"/>
      <c r="Z126" s="13"/>
      <c r="AA126" s="13"/>
      <c r="AB126" s="13"/>
    </row>
    <row r="127" spans="1:28" s="10" customFormat="1" x14ac:dyDescent="0.2">
      <c r="B127" s="211" t="s">
        <v>294</v>
      </c>
      <c r="C127" s="211"/>
      <c r="D127" s="211"/>
      <c r="E127" s="11"/>
      <c r="F127" s="14"/>
      <c r="G127" s="14"/>
      <c r="H127" s="29"/>
      <c r="I127" s="194"/>
      <c r="J127" s="209">
        <f t="shared" si="2"/>
        <v>0</v>
      </c>
      <c r="K127" s="13"/>
      <c r="L127" s="13"/>
      <c r="M127" s="13"/>
      <c r="N127" s="13"/>
      <c r="O127" s="13"/>
      <c r="P127" s="13"/>
      <c r="Q127" s="13"/>
      <c r="R127" s="13"/>
      <c r="S127" s="13"/>
      <c r="T127" s="13"/>
      <c r="U127" s="13"/>
      <c r="V127" s="13"/>
      <c r="W127" s="13"/>
      <c r="X127" s="13"/>
      <c r="Y127" s="13"/>
      <c r="Z127" s="13"/>
      <c r="AA127" s="13"/>
      <c r="AB127" s="13"/>
    </row>
    <row r="128" spans="1:28" s="10" customFormat="1" x14ac:dyDescent="0.2">
      <c r="B128" s="211" t="s">
        <v>597</v>
      </c>
      <c r="C128" s="211"/>
      <c r="D128" s="211"/>
      <c r="E128" s="11"/>
      <c r="F128" s="14"/>
      <c r="G128" s="14"/>
      <c r="H128" s="29"/>
      <c r="I128" s="194"/>
      <c r="J128" s="209">
        <f t="shared" si="2"/>
        <v>0</v>
      </c>
      <c r="K128" s="13"/>
      <c r="L128" s="13"/>
      <c r="M128" s="13"/>
      <c r="N128" s="13"/>
      <c r="O128" s="13"/>
      <c r="P128" s="13"/>
      <c r="Q128" s="13"/>
      <c r="R128" s="13"/>
      <c r="S128" s="13"/>
      <c r="T128" s="13"/>
      <c r="U128" s="13"/>
      <c r="V128" s="13"/>
      <c r="W128" s="13"/>
      <c r="X128" s="13"/>
      <c r="Y128" s="13"/>
      <c r="Z128" s="13"/>
      <c r="AA128" s="13"/>
      <c r="AB128" s="13"/>
    </row>
    <row r="129" spans="1:28" s="10" customFormat="1" x14ac:dyDescent="0.2">
      <c r="B129" s="211" t="s">
        <v>482</v>
      </c>
      <c r="C129" s="211"/>
      <c r="D129" s="211"/>
      <c r="E129" s="11"/>
      <c r="F129" s="14"/>
      <c r="G129" s="14"/>
      <c r="H129" s="29"/>
      <c r="I129" s="194"/>
      <c r="J129" s="209">
        <f t="shared" si="2"/>
        <v>0</v>
      </c>
      <c r="K129" s="13"/>
      <c r="L129" s="13"/>
      <c r="M129" s="13"/>
      <c r="N129" s="13"/>
      <c r="O129" s="13"/>
      <c r="P129" s="13"/>
      <c r="Q129" s="13"/>
      <c r="R129" s="13"/>
      <c r="S129" s="13"/>
      <c r="T129" s="13"/>
      <c r="U129" s="13"/>
      <c r="V129" s="13"/>
      <c r="W129" s="13"/>
      <c r="X129" s="13"/>
      <c r="Y129" s="13"/>
      <c r="Z129" s="13"/>
      <c r="AA129" s="13"/>
      <c r="AB129" s="13"/>
    </row>
    <row r="130" spans="1:28" s="10" customFormat="1" x14ac:dyDescent="0.2">
      <c r="C130" s="10" t="s">
        <v>213</v>
      </c>
      <c r="E130" s="11"/>
      <c r="F130" s="14"/>
      <c r="G130" s="14"/>
      <c r="H130" s="194">
        <f>SUM(H126:H129)</f>
        <v>0</v>
      </c>
      <c r="I130" s="194"/>
      <c r="J130" s="396">
        <f t="shared" si="2"/>
        <v>0</v>
      </c>
      <c r="K130" s="13"/>
      <c r="L130" s="13"/>
      <c r="M130" s="13"/>
      <c r="N130" s="13"/>
      <c r="O130" s="13"/>
      <c r="P130" s="13"/>
      <c r="Q130" s="13"/>
      <c r="R130" s="13"/>
      <c r="S130" s="13"/>
      <c r="T130" s="13"/>
      <c r="U130" s="13"/>
      <c r="V130" s="13"/>
      <c r="W130" s="13"/>
      <c r="X130" s="13"/>
      <c r="Y130" s="13"/>
      <c r="Z130" s="13"/>
      <c r="AA130" s="13"/>
      <c r="AB130" s="13"/>
    </row>
    <row r="131" spans="1:28" s="10" customFormat="1" x14ac:dyDescent="0.2">
      <c r="A131" s="10" t="s">
        <v>599</v>
      </c>
      <c r="E131" s="11"/>
      <c r="F131" s="14"/>
      <c r="G131" s="14"/>
      <c r="H131" s="29"/>
      <c r="I131" s="194"/>
      <c r="J131" s="209">
        <f t="shared" si="2"/>
        <v>0</v>
      </c>
      <c r="K131" s="13"/>
      <c r="L131" s="13"/>
      <c r="M131" s="13"/>
      <c r="N131" s="13"/>
      <c r="O131" s="13"/>
      <c r="P131" s="13"/>
      <c r="Q131" s="13"/>
      <c r="R131" s="13"/>
      <c r="S131" s="13"/>
      <c r="T131" s="13"/>
      <c r="U131" s="13"/>
      <c r="V131" s="13"/>
      <c r="W131" s="13"/>
      <c r="X131" s="13"/>
      <c r="Y131" s="13"/>
      <c r="Z131" s="13"/>
      <c r="AA131" s="13"/>
      <c r="AB131" s="13"/>
    </row>
    <row r="132" spans="1:28" s="10" customFormat="1" x14ac:dyDescent="0.2">
      <c r="A132" s="10" t="s">
        <v>526</v>
      </c>
      <c r="E132" s="11"/>
      <c r="F132" s="14"/>
      <c r="G132" s="14"/>
      <c r="H132" s="194"/>
      <c r="I132" s="29"/>
      <c r="J132" s="209">
        <f t="shared" si="2"/>
        <v>0</v>
      </c>
      <c r="K132" s="13"/>
      <c r="L132" s="13"/>
      <c r="M132" s="13"/>
      <c r="N132" s="13"/>
      <c r="O132" s="13"/>
      <c r="P132" s="13"/>
      <c r="Q132" s="13"/>
      <c r="R132" s="13"/>
      <c r="S132" s="13"/>
      <c r="T132" s="13"/>
      <c r="U132" s="13"/>
      <c r="V132" s="13"/>
      <c r="W132" s="13"/>
      <c r="X132" s="13"/>
      <c r="Y132" s="13"/>
      <c r="Z132" s="13"/>
      <c r="AA132" s="13"/>
      <c r="AB132" s="13"/>
    </row>
    <row r="133" spans="1:28" s="10" customFormat="1" x14ac:dyDescent="0.2">
      <c r="C133" s="18" t="s">
        <v>15</v>
      </c>
      <c r="E133" s="11"/>
      <c r="F133" s="14"/>
      <c r="G133" s="14"/>
      <c r="H133" s="198">
        <f>SUM(H130:H131)</f>
        <v>0</v>
      </c>
      <c r="I133" s="198">
        <f>I132</f>
        <v>0</v>
      </c>
      <c r="J133" s="15">
        <f>SUM(J130:J132)</f>
        <v>0</v>
      </c>
      <c r="K133" s="13"/>
      <c r="L133" s="13"/>
      <c r="M133" s="13"/>
      <c r="N133" s="13"/>
      <c r="O133" s="13"/>
      <c r="P133" s="13"/>
      <c r="Q133" s="13"/>
      <c r="R133" s="13"/>
      <c r="S133" s="13"/>
      <c r="T133" s="13"/>
      <c r="U133" s="13"/>
      <c r="V133" s="13"/>
      <c r="W133" s="13"/>
      <c r="X133" s="13"/>
      <c r="Y133" s="13"/>
      <c r="Z133" s="13"/>
      <c r="AA133" s="13"/>
      <c r="AB133" s="13"/>
    </row>
    <row r="134" spans="1:28" s="10" customFormat="1" x14ac:dyDescent="0.2">
      <c r="E134" s="11"/>
      <c r="F134" s="11"/>
      <c r="G134" s="11"/>
      <c r="H134" s="12"/>
      <c r="I134" s="12"/>
      <c r="J134" s="12"/>
      <c r="K134" s="13"/>
      <c r="L134" s="13"/>
      <c r="M134" s="13"/>
      <c r="N134" s="13"/>
      <c r="O134" s="13"/>
      <c r="P134" s="13"/>
      <c r="Q134" s="13"/>
      <c r="R134" s="13"/>
      <c r="S134" s="13"/>
      <c r="T134" s="13"/>
      <c r="U134" s="13"/>
      <c r="V134" s="13"/>
      <c r="W134" s="13"/>
      <c r="X134" s="13"/>
      <c r="Y134" s="13"/>
      <c r="Z134" s="13"/>
      <c r="AA134" s="13"/>
      <c r="AB134" s="13"/>
    </row>
    <row r="135" spans="1:28" s="10" customFormat="1" x14ac:dyDescent="0.2">
      <c r="A135" s="18" t="s">
        <v>79</v>
      </c>
      <c r="E135" s="11"/>
      <c r="F135" s="11"/>
      <c r="G135" s="11"/>
      <c r="H135" s="29"/>
      <c r="I135" s="29"/>
      <c r="J135" s="209">
        <f t="shared" ref="J135:J142" si="3">SUM(H135:I135)</f>
        <v>0</v>
      </c>
      <c r="K135" s="13"/>
      <c r="L135" s="13"/>
      <c r="M135" s="13"/>
      <c r="N135" s="13"/>
      <c r="O135" s="13"/>
      <c r="P135" s="13"/>
      <c r="Q135" s="13"/>
      <c r="R135" s="13"/>
      <c r="S135" s="13"/>
      <c r="T135" s="13"/>
      <c r="U135" s="13"/>
      <c r="V135" s="13"/>
      <c r="W135" s="13"/>
      <c r="X135" s="13"/>
      <c r="Y135" s="13"/>
      <c r="Z135" s="13"/>
      <c r="AA135" s="13"/>
      <c r="AB135" s="13"/>
    </row>
    <row r="136" spans="1:28" s="10" customFormat="1" x14ac:dyDescent="0.2">
      <c r="A136" s="18" t="s">
        <v>722</v>
      </c>
      <c r="E136" s="11"/>
      <c r="F136" s="11"/>
      <c r="G136" s="11"/>
      <c r="H136" s="29"/>
      <c r="I136" s="194"/>
      <c r="J136" s="209">
        <f t="shared" si="3"/>
        <v>0</v>
      </c>
      <c r="K136" s="13"/>
      <c r="L136" s="13"/>
      <c r="M136" s="13"/>
      <c r="N136" s="13"/>
      <c r="O136" s="13"/>
      <c r="P136" s="13"/>
      <c r="Q136" s="13"/>
      <c r="R136" s="13"/>
      <c r="S136" s="13"/>
      <c r="T136" s="13"/>
      <c r="U136" s="13"/>
      <c r="V136" s="13"/>
      <c r="W136" s="13"/>
      <c r="X136" s="13"/>
      <c r="Y136" s="13"/>
      <c r="Z136" s="13"/>
      <c r="AA136" s="13"/>
      <c r="AB136" s="13"/>
    </row>
    <row r="137" spans="1:28" s="10" customFormat="1" x14ac:dyDescent="0.2">
      <c r="A137" s="18" t="s">
        <v>964</v>
      </c>
      <c r="E137" s="11"/>
      <c r="F137" s="11"/>
      <c r="G137" s="11"/>
      <c r="H137" s="29"/>
      <c r="I137" s="194"/>
      <c r="J137" s="209">
        <f t="shared" si="3"/>
        <v>0</v>
      </c>
      <c r="K137" s="13"/>
      <c r="L137" s="13"/>
      <c r="M137" s="13"/>
      <c r="N137" s="13"/>
      <c r="O137" s="13"/>
      <c r="P137" s="13"/>
      <c r="Q137" s="13"/>
      <c r="R137" s="13"/>
      <c r="S137" s="13"/>
      <c r="T137" s="13"/>
      <c r="U137" s="13"/>
      <c r="V137" s="13"/>
      <c r="W137" s="13"/>
      <c r="X137" s="13"/>
      <c r="Y137" s="13"/>
      <c r="Z137" s="13"/>
      <c r="AA137" s="13"/>
      <c r="AB137" s="13"/>
    </row>
    <row r="138" spans="1:28" s="10" customFormat="1" x14ac:dyDescent="0.2">
      <c r="A138" s="18" t="s">
        <v>723</v>
      </c>
      <c r="E138" s="11"/>
      <c r="F138" s="11"/>
      <c r="G138" s="11"/>
      <c r="H138" s="29"/>
      <c r="I138" s="194"/>
      <c r="J138" s="209">
        <f t="shared" si="3"/>
        <v>0</v>
      </c>
      <c r="K138" s="13"/>
      <c r="L138" s="13"/>
      <c r="M138" s="13"/>
      <c r="N138" s="13"/>
      <c r="O138" s="13"/>
      <c r="P138" s="13"/>
      <c r="Q138" s="13"/>
      <c r="R138" s="13"/>
      <c r="S138" s="13"/>
      <c r="T138" s="13"/>
      <c r="U138" s="13"/>
      <c r="V138" s="13"/>
      <c r="W138" s="13"/>
      <c r="X138" s="13"/>
      <c r="Y138" s="13"/>
      <c r="Z138" s="13"/>
      <c r="AA138" s="13"/>
      <c r="AB138" s="13"/>
    </row>
    <row r="139" spans="1:28" s="10" customFormat="1" x14ac:dyDescent="0.2">
      <c r="A139" s="10" t="s">
        <v>80</v>
      </c>
      <c r="E139" s="7" t="s">
        <v>220</v>
      </c>
      <c r="F139" s="7"/>
      <c r="G139" s="7" t="s">
        <v>220</v>
      </c>
      <c r="H139" s="194"/>
      <c r="I139" s="29"/>
      <c r="J139" s="265">
        <f t="shared" si="3"/>
        <v>0</v>
      </c>
      <c r="K139" s="13"/>
      <c r="L139" s="13"/>
      <c r="M139" s="13"/>
      <c r="N139" s="13"/>
      <c r="O139" s="13"/>
      <c r="P139" s="13"/>
      <c r="Q139" s="13"/>
      <c r="R139" s="13"/>
      <c r="S139" s="13"/>
      <c r="T139" s="13"/>
      <c r="U139" s="13"/>
      <c r="V139" s="13"/>
      <c r="W139" s="13"/>
      <c r="X139" s="13"/>
      <c r="Y139" s="13"/>
      <c r="Z139" s="13"/>
      <c r="AA139" s="13"/>
      <c r="AB139" s="13"/>
    </row>
    <row r="140" spans="1:28" s="10" customFormat="1" x14ac:dyDescent="0.2">
      <c r="A140" s="10" t="s">
        <v>518</v>
      </c>
      <c r="E140" s="7" t="s">
        <v>220</v>
      </c>
      <c r="F140" s="7"/>
      <c r="G140" s="7" t="s">
        <v>220</v>
      </c>
      <c r="H140" s="193"/>
      <c r="I140" s="29"/>
      <c r="J140" s="265">
        <f t="shared" si="3"/>
        <v>0</v>
      </c>
      <c r="K140" s="13"/>
      <c r="L140" s="13"/>
      <c r="M140" s="13"/>
      <c r="N140" s="13"/>
      <c r="O140" s="13"/>
      <c r="P140" s="13"/>
      <c r="Q140" s="13"/>
      <c r="R140" s="13"/>
      <c r="S140" s="13"/>
      <c r="T140" s="13"/>
      <c r="U140" s="13"/>
      <c r="V140" s="13"/>
      <c r="W140" s="13"/>
      <c r="X140" s="13"/>
      <c r="Y140" s="13"/>
      <c r="Z140" s="13"/>
      <c r="AA140" s="13"/>
      <c r="AB140" s="13"/>
    </row>
    <row r="141" spans="1:28" s="10" customFormat="1" x14ac:dyDescent="0.2">
      <c r="A141" s="18" t="s">
        <v>216</v>
      </c>
      <c r="E141" s="11"/>
      <c r="F141" s="14"/>
      <c r="G141" s="14"/>
      <c r="H141" s="193"/>
      <c r="I141" s="29"/>
      <c r="J141" s="209">
        <f t="shared" si="3"/>
        <v>0</v>
      </c>
      <c r="K141" s="13"/>
      <c r="L141" s="13"/>
      <c r="M141" s="13"/>
      <c r="N141" s="13"/>
      <c r="O141" s="13"/>
      <c r="P141" s="13"/>
      <c r="Q141" s="13"/>
      <c r="R141" s="13"/>
      <c r="S141" s="13"/>
      <c r="T141" s="13"/>
      <c r="U141" s="13"/>
      <c r="V141" s="13"/>
      <c r="W141" s="13"/>
      <c r="X141" s="13"/>
      <c r="Y141" s="13"/>
      <c r="Z141" s="13"/>
      <c r="AA141" s="13"/>
      <c r="AB141" s="13"/>
    </row>
    <row r="142" spans="1:28" s="10" customFormat="1" x14ac:dyDescent="0.2">
      <c r="A142" s="18" t="s">
        <v>234</v>
      </c>
      <c r="E142" s="11"/>
      <c r="F142" s="11"/>
      <c r="G142" s="11"/>
      <c r="H142" s="193"/>
      <c r="I142" s="29"/>
      <c r="J142" s="209">
        <f t="shared" si="3"/>
        <v>0</v>
      </c>
      <c r="K142" s="13"/>
      <c r="L142" s="13"/>
      <c r="M142" s="13"/>
      <c r="N142" s="13"/>
      <c r="O142" s="13"/>
      <c r="P142" s="13"/>
      <c r="Q142" s="13"/>
      <c r="R142" s="13"/>
      <c r="S142" s="13"/>
      <c r="T142" s="13"/>
      <c r="U142" s="13"/>
      <c r="V142" s="13"/>
      <c r="W142" s="13"/>
      <c r="X142" s="13"/>
      <c r="Y142" s="13"/>
      <c r="Z142" s="13"/>
      <c r="AA142" s="13"/>
      <c r="AB142" s="13"/>
    </row>
    <row r="143" spans="1:28" s="10" customFormat="1" x14ac:dyDescent="0.2">
      <c r="E143" s="11"/>
      <c r="F143" s="11"/>
      <c r="G143" s="11"/>
      <c r="H143" s="12"/>
      <c r="I143" s="12"/>
      <c r="J143" s="12"/>
      <c r="K143" s="13"/>
      <c r="L143" s="13"/>
      <c r="M143" s="13"/>
      <c r="N143" s="13"/>
      <c r="O143" s="13"/>
      <c r="P143" s="13"/>
      <c r="Q143" s="13"/>
      <c r="R143" s="13"/>
      <c r="S143" s="13"/>
      <c r="T143" s="13"/>
      <c r="U143" s="13"/>
      <c r="V143" s="13"/>
      <c r="W143" s="13"/>
      <c r="X143" s="13"/>
      <c r="Y143" s="13"/>
      <c r="Z143" s="13"/>
      <c r="AA143" s="13"/>
      <c r="AB143" s="13"/>
    </row>
    <row r="144" spans="1:28" s="10" customFormat="1" x14ac:dyDescent="0.2">
      <c r="A144" s="10" t="s">
        <v>16</v>
      </c>
      <c r="E144" s="11"/>
      <c r="F144" s="11"/>
      <c r="G144" s="11"/>
      <c r="H144" s="29"/>
      <c r="I144" s="29"/>
      <c r="J144" s="209">
        <f>SUM(H144:I144)</f>
        <v>0</v>
      </c>
      <c r="K144" s="13"/>
      <c r="L144" s="13"/>
      <c r="M144" s="13"/>
      <c r="N144" s="13"/>
      <c r="O144" s="13"/>
      <c r="P144" s="13"/>
      <c r="Q144" s="13"/>
      <c r="R144" s="13"/>
      <c r="S144" s="13"/>
      <c r="T144" s="13"/>
      <c r="U144" s="13"/>
      <c r="V144" s="13"/>
      <c r="W144" s="13"/>
      <c r="X144" s="13"/>
      <c r="Y144" s="13"/>
      <c r="Z144" s="13"/>
      <c r="AA144" s="13"/>
      <c r="AB144" s="13"/>
    </row>
    <row r="145" spans="1:28" s="10" customFormat="1" x14ac:dyDescent="0.2">
      <c r="A145" s="10" t="s">
        <v>760</v>
      </c>
      <c r="E145" s="11"/>
      <c r="F145" s="11"/>
      <c r="G145" s="11"/>
      <c r="H145" s="29"/>
      <c r="I145" s="29"/>
      <c r="J145" s="209">
        <f>SUM(H145:I145)</f>
        <v>0</v>
      </c>
      <c r="K145" s="13"/>
      <c r="L145" s="13"/>
      <c r="M145" s="13"/>
      <c r="N145" s="13"/>
      <c r="O145" s="13"/>
      <c r="P145" s="13"/>
      <c r="Q145" s="13"/>
      <c r="R145" s="13"/>
      <c r="S145" s="13"/>
      <c r="T145" s="13"/>
      <c r="U145" s="13"/>
      <c r="V145" s="13"/>
      <c r="W145" s="13"/>
      <c r="X145" s="13"/>
      <c r="Y145" s="13"/>
      <c r="Z145" s="13"/>
      <c r="AA145" s="13"/>
      <c r="AB145" s="13"/>
    </row>
    <row r="146" spans="1:28" s="10" customFormat="1" x14ac:dyDescent="0.2">
      <c r="A146" s="10" t="s">
        <v>335</v>
      </c>
      <c r="E146" s="11"/>
      <c r="F146" s="11"/>
      <c r="G146" s="11"/>
      <c r="H146" s="29"/>
      <c r="I146" s="29"/>
      <c r="J146" s="209">
        <f>SUM(H146:I146)</f>
        <v>0</v>
      </c>
      <c r="K146" s="13"/>
      <c r="L146" s="13"/>
      <c r="M146" s="13"/>
      <c r="N146" s="13"/>
      <c r="O146" s="13"/>
      <c r="P146" s="13"/>
      <c r="Q146" s="13"/>
      <c r="R146" s="13"/>
      <c r="S146" s="13"/>
      <c r="T146" s="13"/>
      <c r="U146" s="13"/>
      <c r="V146" s="13"/>
      <c r="W146" s="13"/>
      <c r="X146" s="13"/>
      <c r="Y146" s="13"/>
      <c r="Z146" s="13"/>
      <c r="AA146" s="13"/>
      <c r="AB146" s="13"/>
    </row>
    <row r="147" spans="1:28" s="10" customFormat="1" x14ac:dyDescent="0.2">
      <c r="A147" s="211" t="s">
        <v>925</v>
      </c>
      <c r="E147" s="11"/>
      <c r="F147" s="11"/>
      <c r="G147" s="11"/>
      <c r="H147" s="29"/>
      <c r="I147" s="29"/>
      <c r="J147" s="209">
        <f>SUM(H147:I147)</f>
        <v>0</v>
      </c>
      <c r="K147" s="13"/>
      <c r="L147" s="13"/>
      <c r="M147" s="13"/>
      <c r="N147" s="13"/>
      <c r="O147" s="13"/>
      <c r="P147" s="13"/>
      <c r="Q147" s="13"/>
      <c r="R147" s="13"/>
      <c r="S147" s="13"/>
      <c r="T147" s="13"/>
      <c r="U147" s="13"/>
      <c r="V147" s="13"/>
      <c r="W147" s="13"/>
      <c r="X147" s="13"/>
      <c r="Y147" s="13"/>
      <c r="Z147" s="13"/>
      <c r="AA147" s="13"/>
      <c r="AB147" s="13"/>
    </row>
    <row r="148" spans="1:28" s="10" customFormat="1" x14ac:dyDescent="0.2">
      <c r="A148" s="10" t="s">
        <v>814</v>
      </c>
      <c r="E148" s="11"/>
      <c r="F148" s="11"/>
      <c r="G148" s="11"/>
      <c r="H148" s="29"/>
      <c r="I148" s="29"/>
      <c r="J148" s="209">
        <f>SUM(H148:I148)</f>
        <v>0</v>
      </c>
      <c r="K148" s="13"/>
      <c r="L148" s="13"/>
      <c r="M148" s="13"/>
      <c r="N148" s="13"/>
      <c r="O148" s="13"/>
      <c r="P148" s="13"/>
      <c r="Q148" s="13"/>
      <c r="R148" s="13"/>
      <c r="S148" s="13"/>
      <c r="T148" s="13"/>
      <c r="U148" s="13"/>
      <c r="V148" s="13"/>
      <c r="W148" s="13"/>
      <c r="X148" s="13"/>
      <c r="Y148" s="13"/>
      <c r="Z148" s="13"/>
      <c r="AA148" s="13"/>
      <c r="AB148" s="13"/>
    </row>
    <row r="149" spans="1:28" s="10" customFormat="1" x14ac:dyDescent="0.2">
      <c r="C149" s="18" t="s">
        <v>815</v>
      </c>
      <c r="E149" s="11"/>
      <c r="F149" s="11"/>
      <c r="G149" s="11"/>
      <c r="H149" s="15">
        <f>SUM(H144:H148)</f>
        <v>0</v>
      </c>
      <c r="I149" s="15">
        <f>SUM(I144:I148)</f>
        <v>0</v>
      </c>
      <c r="J149" s="15">
        <f>SUM(J144:J148)</f>
        <v>0</v>
      </c>
      <c r="K149" s="13"/>
      <c r="L149" s="13"/>
      <c r="M149" s="13"/>
      <c r="N149" s="13"/>
      <c r="O149" s="13"/>
      <c r="P149" s="13"/>
      <c r="Q149" s="13"/>
      <c r="R149" s="13"/>
      <c r="S149" s="13"/>
      <c r="T149" s="13"/>
      <c r="U149" s="13"/>
      <c r="V149" s="13"/>
      <c r="W149" s="13"/>
      <c r="X149" s="13"/>
      <c r="Y149" s="13"/>
      <c r="Z149" s="13"/>
      <c r="AA149" s="13"/>
      <c r="AB149" s="13"/>
    </row>
    <row r="150" spans="1:28" s="10" customFormat="1" x14ac:dyDescent="0.2">
      <c r="E150" s="11"/>
      <c r="F150" s="11"/>
      <c r="G150" s="11"/>
      <c r="H150" s="12"/>
      <c r="I150" s="12"/>
      <c r="J150" s="12"/>
      <c r="K150" s="13"/>
      <c r="L150" s="13"/>
      <c r="M150" s="13"/>
      <c r="N150" s="13"/>
      <c r="O150" s="13"/>
      <c r="P150" s="13"/>
      <c r="Q150" s="13"/>
      <c r="R150" s="13"/>
      <c r="S150" s="13"/>
      <c r="T150" s="13"/>
      <c r="U150" s="13"/>
      <c r="V150" s="13"/>
      <c r="W150" s="13"/>
      <c r="X150" s="13"/>
      <c r="Y150" s="13"/>
      <c r="Z150" s="13"/>
      <c r="AA150" s="13"/>
      <c r="AB150" s="13"/>
    </row>
    <row r="151" spans="1:28" s="10" customFormat="1" x14ac:dyDescent="0.2">
      <c r="A151" s="18" t="s">
        <v>757</v>
      </c>
      <c r="E151" s="11"/>
      <c r="F151" s="11"/>
      <c r="G151" s="11"/>
      <c r="H151" s="29"/>
      <c r="I151" s="194"/>
      <c r="J151" s="209">
        <f>SUM(H151:I151)</f>
        <v>0</v>
      </c>
      <c r="K151" s="13"/>
      <c r="L151" s="13"/>
      <c r="M151" s="13"/>
      <c r="N151" s="13"/>
      <c r="O151" s="13"/>
      <c r="P151" s="13"/>
      <c r="Q151" s="13"/>
      <c r="R151" s="13"/>
      <c r="S151" s="13"/>
      <c r="T151" s="13"/>
      <c r="U151" s="13"/>
      <c r="V151" s="13"/>
      <c r="W151" s="13"/>
      <c r="X151" s="13"/>
      <c r="Y151" s="13"/>
      <c r="Z151" s="13"/>
      <c r="AA151" s="13"/>
      <c r="AB151" s="13"/>
    </row>
    <row r="152" spans="1:28" s="10" customFormat="1" x14ac:dyDescent="0.2">
      <c r="A152" s="18" t="s">
        <v>758</v>
      </c>
      <c r="E152" s="11"/>
      <c r="F152" s="11"/>
      <c r="G152" s="11"/>
      <c r="H152" s="29"/>
      <c r="I152" s="194"/>
      <c r="J152" s="209">
        <f>SUM(H152:I152)</f>
        <v>0</v>
      </c>
      <c r="K152" s="13"/>
      <c r="L152" s="13"/>
      <c r="M152" s="13"/>
      <c r="N152" s="13"/>
      <c r="O152" s="13"/>
      <c r="P152" s="13"/>
      <c r="Q152" s="13"/>
      <c r="R152" s="13"/>
      <c r="S152" s="13"/>
      <c r="T152" s="13"/>
      <c r="U152" s="13"/>
      <c r="V152" s="13"/>
      <c r="W152" s="13"/>
      <c r="X152" s="13"/>
      <c r="Y152" s="13"/>
      <c r="Z152" s="13"/>
      <c r="AA152" s="13"/>
      <c r="AB152" s="13"/>
    </row>
    <row r="153" spans="1:28" s="10" customFormat="1" x14ac:dyDescent="0.2">
      <c r="A153" s="18"/>
      <c r="E153" s="11"/>
      <c r="F153" s="11"/>
      <c r="G153" s="11"/>
      <c r="H153" s="209"/>
      <c r="I153" s="209"/>
      <c r="J153" s="209"/>
      <c r="K153" s="13"/>
      <c r="L153" s="13"/>
      <c r="M153" s="13"/>
      <c r="N153" s="13"/>
      <c r="O153" s="13"/>
      <c r="P153" s="13"/>
      <c r="Q153" s="13"/>
      <c r="R153" s="13"/>
      <c r="S153" s="13"/>
      <c r="T153" s="13"/>
      <c r="U153" s="13"/>
      <c r="V153" s="13"/>
      <c r="W153" s="13"/>
      <c r="X153" s="13"/>
      <c r="Y153" s="13"/>
      <c r="Z153" s="13"/>
      <c r="AA153" s="13"/>
      <c r="AB153" s="13"/>
    </row>
    <row r="154" spans="1:28" s="10" customFormat="1" x14ac:dyDescent="0.2">
      <c r="A154" s="18" t="s">
        <v>345</v>
      </c>
      <c r="E154" s="2" t="s">
        <v>1686</v>
      </c>
      <c r="F154" s="11"/>
      <c r="G154" s="11"/>
      <c r="H154" s="29"/>
      <c r="I154" s="29"/>
      <c r="J154" s="209">
        <f>SUM(H154:I154)</f>
        <v>0</v>
      </c>
      <c r="K154" s="13"/>
      <c r="L154" s="13"/>
      <c r="M154" s="13"/>
      <c r="N154" s="13"/>
      <c r="O154" s="13"/>
      <c r="P154" s="13"/>
      <c r="Q154" s="13"/>
      <c r="R154" s="13"/>
      <c r="S154" s="13"/>
      <c r="T154" s="13"/>
      <c r="U154" s="13"/>
      <c r="V154" s="13"/>
      <c r="W154" s="13"/>
      <c r="X154" s="13"/>
      <c r="Y154" s="13"/>
      <c r="Z154" s="13"/>
      <c r="AA154" s="13"/>
      <c r="AB154" s="13"/>
    </row>
    <row r="155" spans="1:28" s="10" customFormat="1" x14ac:dyDescent="0.2">
      <c r="A155" s="18" t="s">
        <v>346</v>
      </c>
      <c r="E155" s="2" t="s">
        <v>1686</v>
      </c>
      <c r="F155" s="11"/>
      <c r="G155" s="11"/>
      <c r="H155" s="29"/>
      <c r="I155" s="29"/>
      <c r="J155" s="209">
        <f>SUM(H155:I155)</f>
        <v>0</v>
      </c>
      <c r="K155" s="13"/>
      <c r="L155" s="13"/>
      <c r="M155" s="13"/>
      <c r="N155" s="13"/>
      <c r="O155" s="13"/>
      <c r="P155" s="13"/>
      <c r="Q155" s="13"/>
      <c r="R155" s="13"/>
      <c r="S155" s="13"/>
      <c r="T155" s="13"/>
      <c r="U155" s="13"/>
      <c r="V155" s="13"/>
      <c r="W155" s="13"/>
      <c r="X155" s="13"/>
      <c r="Y155" s="13"/>
      <c r="Z155" s="13"/>
      <c r="AA155" s="13"/>
      <c r="AB155" s="13"/>
    </row>
    <row r="156" spans="1:28" s="10" customFormat="1" x14ac:dyDescent="0.2">
      <c r="E156" s="11"/>
      <c r="F156" s="11"/>
      <c r="G156" s="11"/>
      <c r="H156" s="12"/>
      <c r="I156" s="12"/>
      <c r="J156" s="12"/>
      <c r="K156" s="13"/>
      <c r="L156" s="13"/>
      <c r="M156" s="13"/>
      <c r="N156" s="13"/>
      <c r="O156" s="13"/>
      <c r="P156" s="13"/>
      <c r="Q156" s="13"/>
      <c r="R156" s="13"/>
      <c r="S156" s="13"/>
      <c r="T156" s="13"/>
      <c r="U156" s="13"/>
      <c r="V156" s="13"/>
      <c r="W156" s="13"/>
      <c r="X156" s="13"/>
      <c r="Y156" s="13"/>
      <c r="Z156" s="13"/>
      <c r="AA156" s="13"/>
      <c r="AB156" s="13"/>
    </row>
    <row r="157" spans="1:28" s="10" customFormat="1" x14ac:dyDescent="0.2">
      <c r="A157" s="10" t="s">
        <v>633</v>
      </c>
      <c r="E157" s="11"/>
      <c r="F157" s="11"/>
      <c r="G157" s="11"/>
      <c r="H157" s="12"/>
      <c r="I157" s="12"/>
      <c r="J157" s="12"/>
      <c r="K157" s="13"/>
      <c r="L157" s="13"/>
      <c r="M157" s="13"/>
      <c r="N157" s="13"/>
      <c r="O157" s="13"/>
      <c r="P157" s="13"/>
      <c r="Q157" s="13"/>
      <c r="R157" s="13"/>
      <c r="S157" s="13"/>
      <c r="T157" s="13"/>
      <c r="U157" s="13"/>
      <c r="V157" s="13"/>
      <c r="W157" s="13"/>
      <c r="X157" s="13"/>
      <c r="Y157" s="13"/>
      <c r="Z157" s="13"/>
      <c r="AA157" s="13"/>
      <c r="AB157" s="13"/>
    </row>
    <row r="158" spans="1:28" s="10" customFormat="1" x14ac:dyDescent="0.2">
      <c r="A158" s="10" t="s">
        <v>759</v>
      </c>
      <c r="E158" s="11"/>
      <c r="F158" s="11"/>
      <c r="G158" s="11"/>
      <c r="H158" s="16"/>
      <c r="I158" s="16"/>
      <c r="J158" s="16"/>
      <c r="K158" s="13"/>
      <c r="L158" s="13"/>
      <c r="M158" s="13"/>
      <c r="N158" s="13"/>
      <c r="O158" s="13"/>
      <c r="P158" s="13"/>
      <c r="Q158" s="13"/>
      <c r="R158" s="13"/>
      <c r="S158" s="13"/>
      <c r="T158" s="13"/>
      <c r="U158" s="13"/>
      <c r="V158" s="13"/>
      <c r="W158" s="13"/>
      <c r="X158" s="13"/>
      <c r="Y158" s="13"/>
      <c r="Z158" s="13"/>
      <c r="AA158" s="13"/>
      <c r="AB158" s="13"/>
    </row>
    <row r="159" spans="1:28" s="10" customFormat="1" x14ac:dyDescent="0.2">
      <c r="B159" s="10" t="s">
        <v>817</v>
      </c>
      <c r="E159" s="2" t="s">
        <v>1687</v>
      </c>
      <c r="F159" s="380"/>
      <c r="G159" s="380"/>
      <c r="H159" s="29"/>
      <c r="I159" s="29"/>
      <c r="J159" s="209">
        <f>SUM(H159:I159)</f>
        <v>0</v>
      </c>
      <c r="K159" s="13"/>
      <c r="L159" s="13"/>
      <c r="M159" s="13"/>
      <c r="N159" s="13"/>
      <c r="O159" s="13"/>
      <c r="P159" s="13"/>
      <c r="Q159" s="13"/>
      <c r="R159" s="13"/>
      <c r="S159" s="13"/>
      <c r="T159" s="13"/>
      <c r="U159" s="13"/>
      <c r="V159" s="13"/>
      <c r="W159" s="13"/>
      <c r="X159" s="13"/>
      <c r="Y159" s="13"/>
      <c r="Z159" s="13"/>
      <c r="AA159" s="13"/>
      <c r="AB159" s="13"/>
    </row>
    <row r="160" spans="1:28" s="10" customFormat="1" x14ac:dyDescent="0.2">
      <c r="B160" s="211" t="s">
        <v>1472</v>
      </c>
      <c r="E160" s="2" t="s">
        <v>1690</v>
      </c>
      <c r="F160" s="380"/>
      <c r="G160" s="7"/>
      <c r="H160" s="29"/>
      <c r="I160" s="194"/>
      <c r="J160" s="209">
        <f>SUM(H160:I160)</f>
        <v>0</v>
      </c>
      <c r="K160" s="13"/>
      <c r="L160" s="13"/>
      <c r="M160" s="13"/>
      <c r="N160" s="13"/>
      <c r="O160" s="13"/>
      <c r="P160" s="13"/>
      <c r="Q160" s="13"/>
      <c r="R160" s="13"/>
      <c r="S160" s="13"/>
      <c r="T160" s="13"/>
      <c r="U160" s="13"/>
      <c r="V160" s="13"/>
      <c r="W160" s="13"/>
      <c r="X160" s="13"/>
      <c r="Y160" s="13"/>
      <c r="Z160" s="13"/>
      <c r="AA160" s="13"/>
      <c r="AB160" s="13"/>
    </row>
    <row r="161" spans="1:28" s="10" customFormat="1" ht="24" customHeight="1" x14ac:dyDescent="0.2">
      <c r="B161" s="1171" t="s">
        <v>1586</v>
      </c>
      <c r="C161" s="1171"/>
      <c r="D161" s="1171"/>
      <c r="E161" s="2" t="s">
        <v>1691</v>
      </c>
      <c r="F161" s="380"/>
      <c r="G161" s="7"/>
      <c r="H161" s="29"/>
      <c r="I161" s="194"/>
      <c r="J161" s="209">
        <f>SUM(H161:I161)</f>
        <v>0</v>
      </c>
      <c r="K161" s="13"/>
      <c r="L161" s="13"/>
      <c r="M161" s="13"/>
      <c r="N161" s="13"/>
      <c r="O161" s="13"/>
      <c r="P161" s="13"/>
      <c r="Q161" s="13"/>
      <c r="R161" s="13"/>
      <c r="S161" s="13"/>
      <c r="T161" s="13"/>
      <c r="U161" s="13"/>
      <c r="V161" s="13"/>
      <c r="W161" s="13"/>
      <c r="X161" s="13"/>
      <c r="Y161" s="13"/>
      <c r="Z161" s="13"/>
      <c r="AA161" s="13"/>
      <c r="AB161" s="13"/>
    </row>
    <row r="162" spans="1:28" s="10" customFormat="1" ht="27" customHeight="1" x14ac:dyDescent="0.2">
      <c r="B162" s="1171" t="s">
        <v>1572</v>
      </c>
      <c r="C162" s="1171"/>
      <c r="D162" s="1171"/>
      <c r="E162" s="2" t="s">
        <v>1575</v>
      </c>
      <c r="F162" s="380"/>
      <c r="G162" s="266"/>
      <c r="H162" s="29"/>
      <c r="I162" s="194"/>
      <c r="J162" s="209">
        <f>SUM(H162:I162)</f>
        <v>0</v>
      </c>
      <c r="K162" s="13"/>
      <c r="L162" s="13"/>
      <c r="M162" s="13"/>
      <c r="N162" s="13"/>
      <c r="O162" s="13"/>
      <c r="P162" s="13"/>
      <c r="Q162" s="13"/>
      <c r="R162" s="13"/>
      <c r="S162" s="13"/>
      <c r="T162" s="13"/>
      <c r="U162" s="13"/>
      <c r="V162" s="13"/>
      <c r="W162" s="13"/>
      <c r="X162" s="13"/>
      <c r="Y162" s="13"/>
      <c r="Z162" s="13"/>
      <c r="AA162" s="13"/>
      <c r="AB162" s="13"/>
    </row>
    <row r="163" spans="1:28" s="10" customFormat="1" x14ac:dyDescent="0.2">
      <c r="B163" s="10" t="s">
        <v>751</v>
      </c>
      <c r="E163" s="2" t="s">
        <v>1689</v>
      </c>
      <c r="F163" s="380"/>
      <c r="G163" s="7" t="s">
        <v>385</v>
      </c>
      <c r="H163" s="29"/>
      <c r="I163" s="29"/>
      <c r="J163" s="209">
        <f t="shared" ref="J163:J171" si="4">SUM(H163:I163)</f>
        <v>0</v>
      </c>
      <c r="K163" s="13"/>
      <c r="L163" s="13"/>
      <c r="M163" s="13"/>
      <c r="N163" s="13"/>
      <c r="O163" s="13"/>
      <c r="P163" s="13"/>
      <c r="Q163" s="13"/>
      <c r="R163" s="13"/>
      <c r="S163" s="13"/>
      <c r="T163" s="13"/>
      <c r="U163" s="13"/>
      <c r="V163" s="13"/>
      <c r="W163" s="13"/>
      <c r="X163" s="13"/>
      <c r="Y163" s="13"/>
      <c r="Z163" s="13"/>
      <c r="AA163" s="13"/>
      <c r="AB163" s="13"/>
    </row>
    <row r="164" spans="1:28" s="10" customFormat="1" x14ac:dyDescent="0.2">
      <c r="B164" s="10" t="s">
        <v>116</v>
      </c>
      <c r="E164" s="2" t="s">
        <v>1688</v>
      </c>
      <c r="F164" s="380"/>
      <c r="G164" s="7" t="s">
        <v>398</v>
      </c>
      <c r="H164" s="29"/>
      <c r="I164" s="29"/>
      <c r="J164" s="209">
        <f t="shared" si="4"/>
        <v>0</v>
      </c>
      <c r="K164" s="13"/>
      <c r="L164" s="13"/>
      <c r="M164" s="13"/>
      <c r="N164" s="13"/>
      <c r="O164" s="13"/>
      <c r="P164" s="13"/>
      <c r="Q164" s="13"/>
      <c r="R164" s="13"/>
      <c r="S164" s="13"/>
      <c r="T164" s="13"/>
      <c r="U164" s="13"/>
      <c r="V164" s="13"/>
      <c r="W164" s="13"/>
      <c r="X164" s="13"/>
      <c r="Y164" s="13"/>
      <c r="Z164" s="13"/>
      <c r="AA164" s="13"/>
      <c r="AB164" s="13"/>
    </row>
    <row r="165" spans="1:28" s="10" customFormat="1" x14ac:dyDescent="0.2">
      <c r="B165" s="10" t="s">
        <v>816</v>
      </c>
      <c r="E165" s="2" t="s">
        <v>1689</v>
      </c>
      <c r="F165" s="380"/>
      <c r="G165" s="7"/>
      <c r="H165" s="29"/>
      <c r="I165" s="29"/>
      <c r="J165" s="209">
        <f t="shared" si="4"/>
        <v>0</v>
      </c>
      <c r="K165" s="13"/>
      <c r="L165" s="13"/>
      <c r="M165" s="13"/>
      <c r="N165" s="13"/>
      <c r="O165" s="13"/>
      <c r="P165" s="13"/>
      <c r="Q165" s="13"/>
      <c r="R165" s="13"/>
      <c r="S165" s="13"/>
      <c r="T165" s="13"/>
      <c r="U165" s="13"/>
      <c r="V165" s="13"/>
      <c r="W165" s="13"/>
      <c r="X165" s="13"/>
      <c r="Y165" s="13"/>
      <c r="Z165" s="13"/>
      <c r="AA165" s="13"/>
      <c r="AB165" s="13"/>
    </row>
    <row r="166" spans="1:28" s="10" customFormat="1" x14ac:dyDescent="0.2">
      <c r="B166" s="10" t="s">
        <v>577</v>
      </c>
      <c r="E166" s="2" t="s">
        <v>1692</v>
      </c>
      <c r="F166" s="380"/>
      <c r="G166" s="266" t="s">
        <v>1508</v>
      </c>
      <c r="H166" s="29"/>
      <c r="I166" s="29"/>
      <c r="J166" s="209">
        <f t="shared" si="4"/>
        <v>0</v>
      </c>
      <c r="K166" s="13"/>
      <c r="L166" s="13"/>
      <c r="M166" s="13"/>
      <c r="N166" s="13"/>
      <c r="O166" s="13"/>
      <c r="P166" s="13"/>
      <c r="Q166" s="13"/>
      <c r="R166" s="13"/>
      <c r="S166" s="13"/>
      <c r="T166" s="13"/>
      <c r="U166" s="13"/>
      <c r="V166" s="13"/>
      <c r="W166" s="13"/>
      <c r="X166" s="13"/>
      <c r="Y166" s="13"/>
      <c r="Z166" s="13"/>
      <c r="AA166" s="13"/>
      <c r="AB166" s="13"/>
    </row>
    <row r="167" spans="1:28" s="10" customFormat="1" x14ac:dyDescent="0.2">
      <c r="B167" s="211" t="s">
        <v>1604</v>
      </c>
      <c r="E167" s="2" t="s">
        <v>1693</v>
      </c>
      <c r="F167" s="380"/>
      <c r="G167" s="7"/>
      <c r="H167" s="29"/>
      <c r="I167" s="194"/>
      <c r="J167" s="209">
        <f>SUM(H167:I167)</f>
        <v>0</v>
      </c>
      <c r="K167" s="13"/>
      <c r="L167" s="13"/>
      <c r="M167" s="13"/>
      <c r="N167" s="13"/>
      <c r="O167" s="13"/>
      <c r="P167" s="13"/>
      <c r="Q167" s="13"/>
      <c r="R167" s="13"/>
      <c r="S167" s="13"/>
      <c r="T167" s="13"/>
      <c r="U167" s="13"/>
      <c r="V167" s="13"/>
      <c r="W167" s="13"/>
      <c r="X167" s="13"/>
      <c r="Y167" s="13"/>
      <c r="Z167" s="13"/>
      <c r="AA167" s="13"/>
      <c r="AB167" s="13"/>
    </row>
    <row r="168" spans="1:28" s="10" customFormat="1" x14ac:dyDescent="0.2">
      <c r="B168" s="1171" t="s">
        <v>1374</v>
      </c>
      <c r="C168" s="1171"/>
      <c r="D168" s="1171"/>
      <c r="E168" s="2" t="s">
        <v>1686</v>
      </c>
      <c r="F168" s="380"/>
      <c r="G168" s="7"/>
      <c r="H168" s="194"/>
      <c r="I168" s="194"/>
      <c r="J168" s="209">
        <f t="shared" si="4"/>
        <v>0</v>
      </c>
      <c r="K168" s="13"/>
      <c r="L168" s="13"/>
      <c r="M168" s="13"/>
      <c r="N168" s="13"/>
      <c r="O168" s="13"/>
      <c r="P168" s="13"/>
      <c r="Q168" s="13"/>
      <c r="R168" s="13"/>
      <c r="S168" s="13"/>
      <c r="T168" s="13"/>
      <c r="U168" s="13"/>
      <c r="V168" s="13"/>
      <c r="W168" s="13"/>
      <c r="X168" s="13"/>
      <c r="Y168" s="13"/>
      <c r="Z168" s="13"/>
      <c r="AA168" s="13"/>
      <c r="AB168" s="13"/>
    </row>
    <row r="169" spans="1:28" s="10" customFormat="1" x14ac:dyDescent="0.2">
      <c r="B169" s="1171" t="s">
        <v>1375</v>
      </c>
      <c r="C169" s="1171"/>
      <c r="D169" s="1171"/>
      <c r="E169" s="2" t="s">
        <v>1686</v>
      </c>
      <c r="F169" s="380"/>
      <c r="G169" s="7"/>
      <c r="H169" s="194"/>
      <c r="I169" s="194"/>
      <c r="J169" s="209">
        <f t="shared" si="4"/>
        <v>0</v>
      </c>
      <c r="K169" s="13"/>
      <c r="L169" s="13"/>
      <c r="M169" s="13"/>
      <c r="N169" s="13"/>
      <c r="O169" s="13"/>
      <c r="P169" s="13"/>
      <c r="Q169" s="13"/>
      <c r="R169" s="13"/>
      <c r="S169" s="13"/>
      <c r="T169" s="13"/>
      <c r="U169" s="13"/>
      <c r="V169" s="13"/>
      <c r="W169" s="13"/>
      <c r="X169" s="13"/>
      <c r="Y169" s="13"/>
      <c r="Z169" s="13"/>
      <c r="AA169" s="13"/>
      <c r="AB169" s="13"/>
    </row>
    <row r="170" spans="1:28" s="10" customFormat="1" x14ac:dyDescent="0.2">
      <c r="B170" s="10" t="s">
        <v>82</v>
      </c>
      <c r="E170" s="2" t="s">
        <v>1686</v>
      </c>
      <c r="F170" s="380"/>
      <c r="G170" s="380"/>
      <c r="H170" s="29"/>
      <c r="I170" s="29"/>
      <c r="J170" s="209">
        <f t="shared" si="4"/>
        <v>0</v>
      </c>
      <c r="K170" s="13"/>
      <c r="L170" s="13"/>
      <c r="M170" s="13"/>
      <c r="N170" s="13"/>
      <c r="O170" s="13"/>
      <c r="P170" s="13"/>
      <c r="Q170" s="13"/>
      <c r="R170" s="13"/>
      <c r="S170" s="13"/>
      <c r="T170" s="13"/>
      <c r="U170" s="13"/>
      <c r="V170" s="13"/>
      <c r="W170" s="13"/>
      <c r="X170" s="13"/>
      <c r="Y170" s="13"/>
      <c r="Z170" s="13"/>
      <c r="AA170" s="13"/>
      <c r="AB170" s="13"/>
    </row>
    <row r="171" spans="1:28" s="10" customFormat="1" x14ac:dyDescent="0.2">
      <c r="B171" s="10" t="s">
        <v>760</v>
      </c>
      <c r="E171" s="2" t="s">
        <v>1686</v>
      </c>
      <c r="F171" s="380"/>
      <c r="G171" s="380"/>
      <c r="H171" s="29"/>
      <c r="I171" s="29"/>
      <c r="J171" s="209">
        <f t="shared" si="4"/>
        <v>0</v>
      </c>
      <c r="K171" s="13"/>
      <c r="L171" s="13"/>
      <c r="M171" s="13"/>
      <c r="N171" s="13"/>
      <c r="O171" s="13"/>
      <c r="P171" s="13"/>
      <c r="Q171" s="13"/>
      <c r="R171" s="13"/>
      <c r="S171" s="13"/>
      <c r="T171" s="13"/>
      <c r="U171" s="13"/>
      <c r="V171" s="13"/>
      <c r="W171" s="13"/>
      <c r="X171" s="13"/>
      <c r="Y171" s="13"/>
      <c r="Z171" s="13"/>
      <c r="AA171" s="13"/>
      <c r="AB171" s="13"/>
    </row>
    <row r="172" spans="1:28" s="10" customFormat="1" x14ac:dyDescent="0.2">
      <c r="C172" s="18" t="s">
        <v>292</v>
      </c>
      <c r="E172" s="11"/>
      <c r="F172" s="11"/>
      <c r="G172" s="7"/>
      <c r="H172" s="15">
        <f>SUM(H159:H171)</f>
        <v>0</v>
      </c>
      <c r="I172" s="15">
        <f>SUM(I159:I171)</f>
        <v>0</v>
      </c>
      <c r="J172" s="15">
        <f>SUM(J159:J171)</f>
        <v>0</v>
      </c>
      <c r="K172" s="13"/>
      <c r="L172" s="13"/>
      <c r="M172" s="13"/>
      <c r="N172" s="13"/>
      <c r="O172" s="13"/>
      <c r="P172" s="13"/>
      <c r="Q172" s="13"/>
      <c r="R172" s="13"/>
      <c r="S172" s="13"/>
      <c r="T172" s="13"/>
      <c r="U172" s="13"/>
      <c r="V172" s="13"/>
      <c r="W172" s="13"/>
      <c r="X172" s="13"/>
      <c r="Y172" s="13"/>
      <c r="Z172" s="13"/>
      <c r="AA172" s="13"/>
      <c r="AB172" s="13"/>
    </row>
    <row r="173" spans="1:28" s="10" customFormat="1" x14ac:dyDescent="0.2">
      <c r="E173" s="11"/>
      <c r="F173" s="11"/>
      <c r="G173" s="7"/>
      <c r="H173" s="12"/>
      <c r="I173" s="12"/>
      <c r="J173" s="12"/>
      <c r="K173" s="13"/>
      <c r="L173" s="13"/>
      <c r="M173" s="13"/>
      <c r="N173" s="13"/>
      <c r="O173" s="13"/>
      <c r="P173" s="13"/>
      <c r="Q173" s="13"/>
      <c r="R173" s="13"/>
      <c r="S173" s="13"/>
      <c r="T173" s="13"/>
      <c r="U173" s="13"/>
      <c r="V173" s="13"/>
      <c r="W173" s="13"/>
      <c r="X173" s="13"/>
      <c r="Y173" s="13"/>
      <c r="Z173" s="13"/>
      <c r="AA173" s="13"/>
      <c r="AB173" s="13"/>
    </row>
    <row r="174" spans="1:28" s="10" customFormat="1" x14ac:dyDescent="0.2">
      <c r="A174" s="10" t="s">
        <v>761</v>
      </c>
      <c r="E174" s="11"/>
      <c r="F174" s="11"/>
      <c r="G174" s="7"/>
      <c r="H174" s="12"/>
      <c r="I174" s="12"/>
      <c r="J174" s="12"/>
      <c r="K174" s="13"/>
      <c r="L174" s="13"/>
      <c r="M174" s="13"/>
      <c r="N174" s="13"/>
      <c r="O174" s="13"/>
      <c r="P174" s="13"/>
      <c r="Q174" s="13"/>
      <c r="R174" s="13"/>
      <c r="S174" s="13"/>
      <c r="T174" s="13"/>
      <c r="U174" s="13"/>
      <c r="V174" s="13"/>
      <c r="W174" s="13"/>
      <c r="X174" s="13"/>
      <c r="Y174" s="13"/>
      <c r="Z174" s="13"/>
      <c r="AA174" s="13"/>
      <c r="AB174" s="13"/>
    </row>
    <row r="175" spans="1:28" s="10" customFormat="1" x14ac:dyDescent="0.2">
      <c r="B175" s="10" t="s">
        <v>578</v>
      </c>
      <c r="E175" s="2" t="s">
        <v>1687</v>
      </c>
      <c r="F175" s="14"/>
      <c r="G175" s="380"/>
      <c r="H175" s="29"/>
      <c r="I175" s="29"/>
      <c r="J175" s="209">
        <f t="shared" ref="J175:J187" si="5">SUM(H175:I175)</f>
        <v>0</v>
      </c>
      <c r="K175" s="13"/>
      <c r="L175" s="13"/>
      <c r="M175" s="13"/>
      <c r="N175" s="13"/>
      <c r="O175" s="13"/>
      <c r="P175" s="13"/>
      <c r="Q175" s="13"/>
      <c r="R175" s="13"/>
      <c r="S175" s="13"/>
      <c r="T175" s="13"/>
      <c r="U175" s="13"/>
      <c r="V175" s="13"/>
      <c r="W175" s="13"/>
      <c r="X175" s="13"/>
      <c r="Y175" s="13"/>
      <c r="Z175" s="13"/>
      <c r="AA175" s="13"/>
      <c r="AB175" s="13"/>
    </row>
    <row r="176" spans="1:28" s="10" customFormat="1" x14ac:dyDescent="0.2">
      <c r="B176" s="211" t="s">
        <v>1472</v>
      </c>
      <c r="E176" s="2" t="s">
        <v>1690</v>
      </c>
      <c r="F176" s="14"/>
      <c r="G176" s="7"/>
      <c r="H176" s="29"/>
      <c r="I176" s="194"/>
      <c r="J176" s="209">
        <f>SUM(H176:I176)</f>
        <v>0</v>
      </c>
      <c r="K176" s="13"/>
      <c r="L176" s="13"/>
      <c r="M176" s="13"/>
      <c r="N176" s="13"/>
      <c r="O176" s="13"/>
      <c r="P176" s="13"/>
      <c r="Q176" s="13"/>
      <c r="R176" s="13"/>
      <c r="S176" s="13"/>
      <c r="T176" s="13"/>
      <c r="U176" s="13"/>
      <c r="V176" s="13"/>
      <c r="W176" s="13"/>
      <c r="X176" s="13"/>
      <c r="Y176" s="13"/>
      <c r="Z176" s="13"/>
      <c r="AA176" s="13"/>
      <c r="AB176" s="13"/>
    </row>
    <row r="177" spans="2:28" s="10" customFormat="1" ht="25.5" customHeight="1" x14ac:dyDescent="0.2">
      <c r="B177" s="1171" t="s">
        <v>1587</v>
      </c>
      <c r="C177" s="1171"/>
      <c r="D177" s="1171"/>
      <c r="E177" s="2" t="s">
        <v>1691</v>
      </c>
      <c r="F177" s="14"/>
      <c r="G177" s="7"/>
      <c r="H177" s="29"/>
      <c r="I177" s="194"/>
      <c r="J177" s="209">
        <f>SUM(H177:I177)</f>
        <v>0</v>
      </c>
      <c r="K177" s="13"/>
      <c r="L177" s="13"/>
      <c r="M177" s="13"/>
      <c r="N177" s="13"/>
      <c r="O177" s="13"/>
      <c r="P177" s="13"/>
      <c r="Q177" s="13"/>
      <c r="R177" s="13"/>
      <c r="S177" s="13"/>
      <c r="T177" s="13"/>
      <c r="U177" s="13"/>
      <c r="V177" s="13"/>
      <c r="W177" s="13"/>
      <c r="X177" s="13"/>
      <c r="Y177" s="13"/>
      <c r="Z177" s="13"/>
      <c r="AA177" s="13"/>
      <c r="AB177" s="13"/>
    </row>
    <row r="178" spans="2:28" s="10" customFormat="1" ht="27" customHeight="1" x14ac:dyDescent="0.2">
      <c r="B178" s="1171" t="s">
        <v>1572</v>
      </c>
      <c r="C178" s="1171"/>
      <c r="D178" s="1171"/>
      <c r="E178" s="2" t="s">
        <v>1575</v>
      </c>
      <c r="F178" s="14"/>
      <c r="G178" s="266"/>
      <c r="H178" s="29"/>
      <c r="I178" s="194"/>
      <c r="J178" s="209">
        <f>SUM(H178:I178)</f>
        <v>0</v>
      </c>
      <c r="K178" s="13"/>
      <c r="L178" s="13"/>
      <c r="M178" s="13"/>
      <c r="N178" s="13"/>
      <c r="O178" s="13"/>
      <c r="P178" s="13"/>
      <c r="Q178" s="13"/>
      <c r="R178" s="13"/>
      <c r="S178" s="13"/>
      <c r="T178" s="13"/>
      <c r="U178" s="13"/>
      <c r="V178" s="13"/>
      <c r="W178" s="13"/>
      <c r="X178" s="13"/>
      <c r="Y178" s="13"/>
      <c r="Z178" s="13"/>
      <c r="AA178" s="13"/>
      <c r="AB178" s="13"/>
    </row>
    <row r="179" spans="2:28" s="10" customFormat="1" x14ac:dyDescent="0.2">
      <c r="B179" s="10" t="s">
        <v>751</v>
      </c>
      <c r="E179" s="2" t="s">
        <v>1689</v>
      </c>
      <c r="F179" s="14"/>
      <c r="G179" s="7" t="s">
        <v>385</v>
      </c>
      <c r="H179" s="29"/>
      <c r="I179" s="29"/>
      <c r="J179" s="209">
        <f t="shared" si="5"/>
        <v>0</v>
      </c>
      <c r="K179" s="13"/>
      <c r="L179" s="13"/>
      <c r="M179" s="13"/>
      <c r="N179" s="13"/>
      <c r="O179" s="13"/>
      <c r="P179" s="13"/>
      <c r="Q179" s="13"/>
      <c r="R179" s="13"/>
      <c r="S179" s="13"/>
      <c r="T179" s="13"/>
      <c r="U179" s="13"/>
      <c r="V179" s="13"/>
      <c r="W179" s="13"/>
      <c r="X179" s="13"/>
      <c r="Y179" s="13"/>
      <c r="Z179" s="13"/>
      <c r="AA179" s="13"/>
      <c r="AB179" s="13"/>
    </row>
    <row r="180" spans="2:28" s="10" customFormat="1" x14ac:dyDescent="0.2">
      <c r="B180" s="10" t="s">
        <v>116</v>
      </c>
      <c r="E180" s="2" t="s">
        <v>1688</v>
      </c>
      <c r="F180" s="14"/>
      <c r="G180" s="7" t="s">
        <v>398</v>
      </c>
      <c r="H180" s="29"/>
      <c r="I180" s="29"/>
      <c r="J180" s="209">
        <f t="shared" si="5"/>
        <v>0</v>
      </c>
      <c r="K180" s="13"/>
      <c r="L180" s="13"/>
      <c r="M180" s="13"/>
      <c r="N180" s="13"/>
      <c r="O180" s="13"/>
      <c r="P180" s="13"/>
      <c r="Q180" s="13"/>
      <c r="R180" s="13"/>
      <c r="S180" s="13"/>
      <c r="T180" s="13"/>
      <c r="U180" s="13"/>
      <c r="V180" s="13"/>
      <c r="W180" s="13"/>
      <c r="X180" s="13"/>
      <c r="Y180" s="13"/>
      <c r="Z180" s="13"/>
      <c r="AA180" s="13"/>
      <c r="AB180" s="13"/>
    </row>
    <row r="181" spans="2:28" s="10" customFormat="1" x14ac:dyDescent="0.2">
      <c r="B181" s="10" t="s">
        <v>816</v>
      </c>
      <c r="E181" s="2" t="s">
        <v>1689</v>
      </c>
      <c r="F181" s="14"/>
      <c r="G181" s="7"/>
      <c r="H181" s="29"/>
      <c r="I181" s="29"/>
      <c r="J181" s="209">
        <f t="shared" si="5"/>
        <v>0</v>
      </c>
      <c r="K181" s="13"/>
      <c r="L181" s="13"/>
      <c r="M181" s="13"/>
      <c r="N181" s="13"/>
      <c r="O181" s="13"/>
      <c r="P181" s="13"/>
      <c r="Q181" s="13"/>
      <c r="R181" s="13"/>
      <c r="S181" s="13"/>
      <c r="T181" s="13"/>
      <c r="U181" s="13"/>
      <c r="V181" s="13"/>
      <c r="W181" s="13"/>
      <c r="X181" s="13"/>
      <c r="Y181" s="13"/>
      <c r="Z181" s="13"/>
      <c r="AA181" s="13"/>
      <c r="AB181" s="13"/>
    </row>
    <row r="182" spans="2:28" s="10" customFormat="1" x14ac:dyDescent="0.2">
      <c r="B182" s="10" t="s">
        <v>716</v>
      </c>
      <c r="E182" s="2" t="s">
        <v>1692</v>
      </c>
      <c r="F182" s="14"/>
      <c r="G182" s="266" t="s">
        <v>1508</v>
      </c>
      <c r="H182" s="29"/>
      <c r="I182" s="29"/>
      <c r="J182" s="209">
        <f t="shared" si="5"/>
        <v>0</v>
      </c>
      <c r="K182" s="13"/>
      <c r="L182" s="13"/>
      <c r="M182" s="13"/>
      <c r="N182" s="13"/>
      <c r="O182" s="13"/>
      <c r="P182" s="13"/>
      <c r="Q182" s="13"/>
      <c r="R182" s="13"/>
      <c r="S182" s="13"/>
      <c r="T182" s="13"/>
      <c r="U182" s="13"/>
      <c r="V182" s="13"/>
      <c r="W182" s="13"/>
      <c r="X182" s="13"/>
      <c r="Y182" s="13"/>
      <c r="Z182" s="13"/>
      <c r="AA182" s="13"/>
      <c r="AB182" s="13"/>
    </row>
    <row r="183" spans="2:28" s="10" customFormat="1" x14ac:dyDescent="0.2">
      <c r="B183" s="211" t="s">
        <v>1588</v>
      </c>
      <c r="E183" s="2" t="s">
        <v>1693</v>
      </c>
      <c r="F183" s="14"/>
      <c r="G183" s="7"/>
      <c r="H183" s="29"/>
      <c r="I183" s="194"/>
      <c r="J183" s="209">
        <f>SUM(H183:I183)</f>
        <v>0</v>
      </c>
      <c r="K183" s="13"/>
      <c r="L183" s="13"/>
      <c r="M183" s="13"/>
      <c r="N183" s="13"/>
      <c r="O183" s="13"/>
      <c r="P183" s="13"/>
      <c r="Q183" s="13"/>
      <c r="R183" s="13"/>
      <c r="S183" s="13"/>
      <c r="T183" s="13"/>
      <c r="U183" s="13"/>
      <c r="V183" s="13"/>
      <c r="W183" s="13"/>
      <c r="X183" s="13"/>
      <c r="Y183" s="13"/>
      <c r="Z183" s="13"/>
      <c r="AA183" s="13"/>
      <c r="AB183" s="13"/>
    </row>
    <row r="184" spans="2:28" s="10" customFormat="1" x14ac:dyDescent="0.2">
      <c r="B184" s="211" t="s">
        <v>1280</v>
      </c>
      <c r="E184" s="2" t="s">
        <v>1686</v>
      </c>
      <c r="F184" s="14"/>
      <c r="G184" s="380"/>
      <c r="H184" s="194"/>
      <c r="I184" s="194"/>
      <c r="J184" s="209">
        <f t="shared" si="5"/>
        <v>0</v>
      </c>
      <c r="K184" s="13"/>
      <c r="L184" s="13"/>
      <c r="M184" s="13"/>
      <c r="N184" s="13"/>
      <c r="O184" s="13"/>
      <c r="P184" s="13"/>
      <c r="Q184" s="13"/>
      <c r="R184" s="13"/>
      <c r="S184" s="13"/>
      <c r="T184" s="13"/>
      <c r="U184" s="13"/>
      <c r="V184" s="13"/>
      <c r="W184" s="13"/>
      <c r="X184" s="13"/>
      <c r="Y184" s="13"/>
      <c r="Z184" s="13"/>
      <c r="AA184" s="13"/>
      <c r="AB184" s="13"/>
    </row>
    <row r="185" spans="2:28" s="10" customFormat="1" x14ac:dyDescent="0.2">
      <c r="B185" s="1171" t="s">
        <v>1374</v>
      </c>
      <c r="C185" s="1171"/>
      <c r="D185" s="1171"/>
      <c r="E185" s="2" t="s">
        <v>1686</v>
      </c>
      <c r="F185" s="14"/>
      <c r="G185" s="380"/>
      <c r="H185" s="194"/>
      <c r="I185" s="194"/>
      <c r="J185" s="209">
        <f t="shared" si="5"/>
        <v>0</v>
      </c>
      <c r="K185" s="13"/>
      <c r="L185" s="13"/>
      <c r="M185" s="13"/>
      <c r="N185" s="13"/>
      <c r="O185" s="13"/>
      <c r="P185" s="13"/>
      <c r="Q185" s="13"/>
      <c r="R185" s="13"/>
      <c r="S185" s="13"/>
      <c r="T185" s="13"/>
      <c r="U185" s="13"/>
      <c r="V185" s="13"/>
      <c r="W185" s="13"/>
      <c r="X185" s="13"/>
      <c r="Y185" s="13"/>
      <c r="Z185" s="13"/>
      <c r="AA185" s="13"/>
      <c r="AB185" s="13"/>
    </row>
    <row r="186" spans="2:28" s="10" customFormat="1" x14ac:dyDescent="0.2">
      <c r="B186" s="1171" t="s">
        <v>1375</v>
      </c>
      <c r="C186" s="1171"/>
      <c r="D186" s="1171"/>
      <c r="E186" s="2" t="s">
        <v>1686</v>
      </c>
      <c r="F186" s="14"/>
      <c r="G186" s="380"/>
      <c r="H186" s="194"/>
      <c r="I186" s="194"/>
      <c r="J186" s="209">
        <f t="shared" si="5"/>
        <v>0</v>
      </c>
      <c r="K186" s="13"/>
      <c r="L186" s="13"/>
      <c r="M186" s="13"/>
      <c r="N186" s="13"/>
      <c r="O186" s="13"/>
      <c r="P186" s="13"/>
      <c r="Q186" s="13"/>
      <c r="R186" s="13"/>
      <c r="S186" s="13"/>
      <c r="T186" s="13"/>
      <c r="U186" s="13"/>
      <c r="V186" s="13"/>
      <c r="W186" s="13"/>
      <c r="X186" s="13"/>
      <c r="Y186" s="13"/>
      <c r="Z186" s="13"/>
      <c r="AA186" s="13"/>
      <c r="AB186" s="13"/>
    </row>
    <row r="187" spans="2:28" s="10" customFormat="1" x14ac:dyDescent="0.2">
      <c r="B187" s="10" t="s">
        <v>82</v>
      </c>
      <c r="E187" s="2" t="s">
        <v>1686</v>
      </c>
      <c r="F187" s="14"/>
      <c r="G187" s="380"/>
      <c r="H187" s="29"/>
      <c r="I187" s="29"/>
      <c r="J187" s="209">
        <f t="shared" si="5"/>
        <v>0</v>
      </c>
      <c r="K187" s="13"/>
      <c r="L187" s="13"/>
      <c r="M187" s="13"/>
      <c r="N187" s="13"/>
      <c r="O187" s="13"/>
      <c r="P187" s="13"/>
      <c r="Q187" s="13"/>
      <c r="R187" s="13"/>
      <c r="S187" s="13"/>
      <c r="T187" s="13"/>
      <c r="U187" s="13"/>
      <c r="V187" s="13"/>
      <c r="W187" s="13"/>
      <c r="X187" s="13"/>
      <c r="Y187" s="13"/>
      <c r="Z187" s="13"/>
      <c r="AA187" s="13"/>
      <c r="AB187" s="13"/>
    </row>
    <row r="188" spans="2:28" s="10" customFormat="1" x14ac:dyDescent="0.2">
      <c r="B188" s="10" t="s">
        <v>760</v>
      </c>
      <c r="E188" s="2" t="s">
        <v>1686</v>
      </c>
      <c r="F188" s="14"/>
      <c r="G188" s="380"/>
      <c r="H188" s="29"/>
      <c r="I188" s="29"/>
      <c r="J188" s="209">
        <f>SUM(H188:I188)</f>
        <v>0</v>
      </c>
      <c r="K188" s="13"/>
      <c r="L188" s="13"/>
      <c r="M188" s="13"/>
      <c r="N188" s="13"/>
      <c r="O188" s="13"/>
      <c r="P188" s="13"/>
      <c r="Q188" s="13"/>
      <c r="R188" s="13"/>
      <c r="S188" s="13"/>
      <c r="T188" s="13"/>
      <c r="U188" s="13"/>
      <c r="V188" s="13"/>
      <c r="W188" s="13"/>
      <c r="X188" s="13"/>
      <c r="Y188" s="13"/>
      <c r="Z188" s="13"/>
      <c r="AA188" s="13"/>
      <c r="AB188" s="13"/>
    </row>
    <row r="189" spans="2:28" s="10" customFormat="1" x14ac:dyDescent="0.2">
      <c r="C189" s="18" t="s">
        <v>291</v>
      </c>
      <c r="E189" s="11"/>
      <c r="F189" s="11"/>
      <c r="G189" s="7"/>
      <c r="H189" s="15">
        <f>SUM(H175:H188)</f>
        <v>0</v>
      </c>
      <c r="I189" s="15">
        <f>SUM(I175:I188)</f>
        <v>0</v>
      </c>
      <c r="J189" s="15">
        <f>SUM(J175:J188)</f>
        <v>0</v>
      </c>
      <c r="K189" s="13"/>
      <c r="L189" s="13"/>
      <c r="M189" s="13"/>
      <c r="N189" s="13"/>
      <c r="O189" s="13"/>
      <c r="P189" s="13"/>
      <c r="Q189" s="13"/>
      <c r="R189" s="13"/>
      <c r="S189" s="13"/>
      <c r="T189" s="13"/>
      <c r="U189" s="13"/>
      <c r="V189" s="13"/>
      <c r="W189" s="13"/>
      <c r="X189" s="13"/>
      <c r="Y189" s="13"/>
      <c r="Z189" s="13"/>
      <c r="AA189" s="13"/>
      <c r="AB189" s="13"/>
    </row>
    <row r="190" spans="2:28" s="10" customFormat="1" x14ac:dyDescent="0.2">
      <c r="E190" s="11"/>
      <c r="F190" s="11"/>
      <c r="G190" s="11"/>
      <c r="H190" s="12"/>
      <c r="I190" s="12"/>
      <c r="J190" s="12"/>
      <c r="K190" s="13"/>
      <c r="L190" s="13"/>
      <c r="M190" s="13"/>
      <c r="N190" s="13"/>
      <c r="O190" s="13"/>
      <c r="P190" s="13"/>
      <c r="Q190" s="13"/>
      <c r="R190" s="13"/>
      <c r="S190" s="13"/>
      <c r="T190" s="13"/>
      <c r="U190" s="13"/>
      <c r="V190" s="13"/>
      <c r="W190" s="13"/>
      <c r="X190" s="13"/>
      <c r="Y190" s="13"/>
      <c r="Z190" s="13"/>
      <c r="AA190" s="13"/>
      <c r="AB190" s="13"/>
    </row>
    <row r="191" spans="2:28" s="10" customFormat="1" x14ac:dyDescent="0.2">
      <c r="D191" s="10" t="s">
        <v>491</v>
      </c>
      <c r="E191" s="11"/>
      <c r="F191" s="11"/>
      <c r="G191" s="11"/>
      <c r="H191" s="15">
        <f>SUM(H133,H135:H142,H149,H151:H152,H154:H155,H172,H189)</f>
        <v>0</v>
      </c>
      <c r="I191" s="15">
        <f>SUM(I133,I135:I142,I149,I151:I152,I154:I155,I172,I189)</f>
        <v>0</v>
      </c>
      <c r="J191" s="15">
        <f>SUM(J133,J135:J142,J149,J151:J152,J154:J155,J172,J189)</f>
        <v>0</v>
      </c>
      <c r="K191" s="13"/>
      <c r="L191" s="13"/>
      <c r="M191" s="13"/>
      <c r="N191" s="13"/>
      <c r="O191" s="13"/>
      <c r="P191" s="13"/>
      <c r="Q191" s="13"/>
      <c r="R191" s="13"/>
      <c r="S191" s="13"/>
      <c r="T191" s="13"/>
      <c r="U191" s="13"/>
      <c r="V191" s="13"/>
      <c r="W191" s="13"/>
      <c r="X191" s="13"/>
      <c r="Y191" s="13"/>
      <c r="Z191" s="13"/>
      <c r="AA191" s="13"/>
      <c r="AB191" s="13"/>
    </row>
    <row r="192" spans="2:28" s="10" customFormat="1" x14ac:dyDescent="0.2">
      <c r="E192" s="11"/>
      <c r="F192" s="11"/>
      <c r="G192" s="11"/>
      <c r="H192" s="17"/>
      <c r="I192" s="17"/>
      <c r="J192" s="17"/>
      <c r="K192" s="13"/>
      <c r="L192" s="13"/>
      <c r="M192" s="13"/>
      <c r="N192" s="13"/>
      <c r="O192" s="13"/>
      <c r="P192" s="13"/>
      <c r="Q192" s="13"/>
      <c r="R192" s="13"/>
      <c r="S192" s="13"/>
      <c r="T192" s="13"/>
      <c r="U192" s="13"/>
      <c r="V192" s="13"/>
      <c r="W192" s="13"/>
      <c r="X192" s="13"/>
      <c r="Y192" s="13"/>
      <c r="Z192" s="13"/>
      <c r="AA192" s="13"/>
      <c r="AB192" s="13"/>
    </row>
    <row r="193" spans="1:28" s="10" customFormat="1" x14ac:dyDescent="0.2">
      <c r="A193" s="1" t="s">
        <v>852</v>
      </c>
      <c r="E193" s="11"/>
      <c r="F193" s="11"/>
      <c r="G193" s="11"/>
      <c r="H193" s="29"/>
      <c r="I193" s="194"/>
      <c r="J193" s="209">
        <f>SUM(H193:I193)</f>
        <v>0</v>
      </c>
      <c r="K193" s="13"/>
      <c r="L193" s="13"/>
      <c r="M193" s="13"/>
      <c r="N193" s="13"/>
      <c r="O193" s="13"/>
      <c r="P193" s="13"/>
      <c r="Q193" s="13"/>
      <c r="R193" s="13"/>
      <c r="S193" s="13"/>
      <c r="T193" s="13"/>
      <c r="U193" s="13"/>
      <c r="V193" s="13"/>
      <c r="W193" s="13"/>
      <c r="X193" s="13"/>
      <c r="Y193" s="13"/>
      <c r="Z193" s="13"/>
      <c r="AA193" s="13"/>
      <c r="AB193" s="13"/>
    </row>
    <row r="194" spans="1:28" s="10" customFormat="1" x14ac:dyDescent="0.2">
      <c r="E194" s="11"/>
      <c r="F194" s="11"/>
      <c r="G194" s="11"/>
      <c r="H194" s="17"/>
      <c r="I194" s="17"/>
      <c r="J194" s="17"/>
      <c r="K194" s="13"/>
      <c r="L194" s="13"/>
      <c r="M194" s="13"/>
      <c r="N194" s="13"/>
      <c r="O194" s="13"/>
      <c r="P194" s="13"/>
      <c r="Q194" s="13"/>
      <c r="R194" s="13"/>
      <c r="S194" s="13"/>
      <c r="T194" s="13"/>
      <c r="U194" s="13"/>
      <c r="V194" s="13"/>
      <c r="W194" s="13"/>
      <c r="X194" s="13"/>
      <c r="Y194" s="13"/>
      <c r="Z194" s="13"/>
      <c r="AA194" s="13"/>
      <c r="AB194" s="13"/>
    </row>
    <row r="195" spans="1:28" s="10" customFormat="1" x14ac:dyDescent="0.2">
      <c r="D195" s="211" t="s">
        <v>893</v>
      </c>
      <c r="E195" s="11"/>
      <c r="F195" s="11"/>
      <c r="G195" s="11"/>
      <c r="H195" s="15">
        <f>SUM(H191,H193)</f>
        <v>0</v>
      </c>
      <c r="I195" s="15">
        <f>SUM(I191,I193)</f>
        <v>0</v>
      </c>
      <c r="J195" s="15">
        <f>SUM(J191,J193)</f>
        <v>0</v>
      </c>
      <c r="K195" s="13"/>
      <c r="L195" s="13"/>
      <c r="M195" s="13"/>
      <c r="N195" s="13"/>
      <c r="O195" s="13"/>
      <c r="P195" s="13"/>
      <c r="Q195" s="13"/>
      <c r="R195" s="13"/>
      <c r="S195" s="13"/>
      <c r="T195" s="13"/>
      <c r="U195" s="13"/>
      <c r="V195" s="13"/>
      <c r="W195" s="13"/>
      <c r="X195" s="13"/>
      <c r="Y195" s="13"/>
      <c r="Z195" s="13"/>
      <c r="AA195" s="13"/>
      <c r="AB195" s="13"/>
    </row>
    <row r="196" spans="1:28" s="10" customFormat="1" x14ac:dyDescent="0.2">
      <c r="E196" s="11"/>
      <c r="F196" s="11"/>
      <c r="G196" s="11"/>
      <c r="H196" s="12"/>
      <c r="I196" s="12"/>
      <c r="J196" s="12"/>
      <c r="K196" s="13"/>
      <c r="L196" s="13"/>
      <c r="M196" s="13"/>
      <c r="N196" s="13"/>
      <c r="O196" s="13"/>
      <c r="P196" s="13"/>
      <c r="Q196" s="13"/>
      <c r="R196" s="13"/>
      <c r="S196" s="13"/>
      <c r="T196" s="13"/>
      <c r="U196" s="13"/>
      <c r="V196" s="13"/>
      <c r="W196" s="13"/>
      <c r="X196" s="13"/>
      <c r="Y196" s="13"/>
      <c r="Z196" s="13"/>
      <c r="AA196" s="13"/>
      <c r="AB196" s="13"/>
    </row>
    <row r="197" spans="1:28" s="10" customFormat="1" x14ac:dyDescent="0.2">
      <c r="A197" s="1" t="s">
        <v>854</v>
      </c>
      <c r="E197" s="11"/>
      <c r="F197" s="11"/>
      <c r="G197" s="11"/>
      <c r="H197" s="12"/>
      <c r="I197" s="12"/>
      <c r="J197" s="12"/>
      <c r="K197" s="13"/>
      <c r="L197" s="13"/>
      <c r="M197" s="13"/>
      <c r="N197" s="13"/>
      <c r="O197" s="13"/>
      <c r="P197" s="13"/>
      <c r="Q197" s="13"/>
      <c r="R197" s="13"/>
      <c r="S197" s="13"/>
      <c r="T197" s="13"/>
      <c r="U197" s="13"/>
      <c r="V197" s="13"/>
      <c r="W197" s="13"/>
      <c r="X197" s="13"/>
      <c r="Y197" s="13"/>
      <c r="Z197" s="13"/>
      <c r="AA197" s="13"/>
      <c r="AB197" s="13"/>
    </row>
    <row r="198" spans="1:28" s="10" customFormat="1" x14ac:dyDescent="0.2">
      <c r="A198" s="18" t="s">
        <v>853</v>
      </c>
      <c r="E198" s="11" t="s">
        <v>608</v>
      </c>
      <c r="F198" s="11"/>
      <c r="G198" s="7" t="s">
        <v>63</v>
      </c>
      <c r="H198" s="29"/>
      <c r="I198" s="29"/>
      <c r="J198" s="209">
        <f>SUM(H198:I198)</f>
        <v>0</v>
      </c>
      <c r="K198" s="13"/>
      <c r="L198" s="13"/>
      <c r="M198" s="13"/>
      <c r="N198" s="13"/>
      <c r="O198" s="13"/>
      <c r="P198" s="13"/>
      <c r="Q198" s="13"/>
      <c r="R198" s="13"/>
      <c r="S198" s="13"/>
      <c r="T198" s="13"/>
      <c r="U198" s="13"/>
      <c r="V198" s="13"/>
      <c r="W198" s="13"/>
      <c r="X198" s="13"/>
      <c r="Y198" s="13"/>
      <c r="Z198" s="13"/>
      <c r="AA198" s="13"/>
      <c r="AB198" s="13"/>
    </row>
    <row r="199" spans="1:28" s="10" customFormat="1" x14ac:dyDescent="0.2">
      <c r="A199" s="10" t="s">
        <v>762</v>
      </c>
      <c r="E199" s="11"/>
      <c r="F199" s="11"/>
      <c r="G199" s="11"/>
      <c r="H199" s="12"/>
      <c r="I199" s="12"/>
      <c r="J199" s="12"/>
      <c r="K199" s="13"/>
      <c r="L199" s="13"/>
      <c r="M199" s="13"/>
      <c r="N199" s="13"/>
      <c r="O199" s="13"/>
      <c r="P199" s="13"/>
      <c r="Q199" s="13"/>
      <c r="R199" s="13"/>
      <c r="S199" s="13"/>
      <c r="T199" s="13"/>
      <c r="U199" s="13"/>
      <c r="V199" s="13"/>
      <c r="W199" s="13"/>
      <c r="X199" s="13"/>
      <c r="Y199" s="13"/>
      <c r="Z199" s="13"/>
      <c r="AA199" s="13"/>
      <c r="AB199" s="13"/>
    </row>
    <row r="200" spans="1:28" s="10" customFormat="1" x14ac:dyDescent="0.2">
      <c r="B200" s="10" t="s">
        <v>763</v>
      </c>
      <c r="E200" s="11"/>
      <c r="F200" s="11"/>
      <c r="G200" s="11"/>
      <c r="H200" s="16"/>
      <c r="I200" s="16"/>
      <c r="J200" s="16"/>
      <c r="K200" s="13"/>
      <c r="L200" s="13"/>
      <c r="M200" s="13"/>
      <c r="N200" s="13"/>
      <c r="O200" s="13"/>
      <c r="P200" s="13"/>
      <c r="Q200" s="13"/>
      <c r="R200" s="13"/>
      <c r="S200" s="13"/>
      <c r="T200" s="13"/>
      <c r="U200" s="13"/>
      <c r="V200" s="13"/>
      <c r="W200" s="13"/>
      <c r="X200" s="13"/>
      <c r="Y200" s="13"/>
      <c r="Z200" s="13"/>
      <c r="AA200" s="13"/>
      <c r="AB200" s="13"/>
    </row>
    <row r="201" spans="1:28" s="10" customFormat="1" hidden="1" x14ac:dyDescent="0.2">
      <c r="C201" s="10" t="s">
        <v>169</v>
      </c>
      <c r="E201" s="11"/>
      <c r="F201" s="11"/>
      <c r="G201" s="11"/>
      <c r="H201" s="192"/>
      <c r="I201" s="194"/>
      <c r="J201" s="209">
        <f t="shared" ref="J201:J208" si="6">SUM(H201:I201)</f>
        <v>0</v>
      </c>
      <c r="K201" s="13"/>
      <c r="L201" s="13"/>
      <c r="M201" s="13"/>
      <c r="N201" s="13"/>
      <c r="O201" s="13"/>
      <c r="P201" s="13"/>
      <c r="Q201" s="13"/>
      <c r="R201" s="13"/>
      <c r="S201" s="13"/>
      <c r="T201" s="13"/>
      <c r="U201" s="13"/>
      <c r="V201" s="13"/>
      <c r="W201" s="13"/>
      <c r="X201" s="13"/>
      <c r="Y201" s="13"/>
      <c r="Z201" s="13"/>
      <c r="AA201" s="13"/>
      <c r="AB201" s="13"/>
    </row>
    <row r="202" spans="1:28" s="10" customFormat="1" hidden="1" x14ac:dyDescent="0.2">
      <c r="C202" s="10" t="s">
        <v>164</v>
      </c>
      <c r="E202" s="11"/>
      <c r="F202" s="11"/>
      <c r="G202" s="11"/>
      <c r="H202" s="192"/>
      <c r="I202" s="194"/>
      <c r="J202" s="209">
        <f t="shared" si="6"/>
        <v>0</v>
      </c>
      <c r="K202" s="13"/>
      <c r="L202" s="13"/>
      <c r="M202" s="13"/>
      <c r="N202" s="13"/>
      <c r="O202" s="13"/>
      <c r="P202" s="13"/>
      <c r="Q202" s="13"/>
      <c r="R202" s="13"/>
      <c r="S202" s="13"/>
      <c r="T202" s="13"/>
      <c r="U202" s="13"/>
      <c r="V202" s="13"/>
      <c r="W202" s="13"/>
      <c r="X202" s="13"/>
      <c r="Y202" s="13"/>
      <c r="Z202" s="13"/>
      <c r="AA202" s="13"/>
      <c r="AB202" s="13"/>
    </row>
    <row r="203" spans="1:28" s="10" customFormat="1" hidden="1" x14ac:dyDescent="0.2">
      <c r="C203" s="10" t="s">
        <v>165</v>
      </c>
      <c r="E203" s="11"/>
      <c r="F203" s="11"/>
      <c r="G203" s="11"/>
      <c r="H203" s="192"/>
      <c r="I203" s="194"/>
      <c r="J203" s="209">
        <f t="shared" si="6"/>
        <v>0</v>
      </c>
      <c r="K203" s="13"/>
      <c r="L203" s="13"/>
      <c r="M203" s="13"/>
      <c r="N203" s="13"/>
      <c r="O203" s="13"/>
      <c r="P203" s="13"/>
      <c r="Q203" s="13"/>
      <c r="R203" s="13"/>
      <c r="S203" s="13"/>
      <c r="T203" s="13"/>
      <c r="U203" s="13"/>
      <c r="V203" s="13"/>
      <c r="W203" s="13"/>
      <c r="X203" s="13"/>
      <c r="Y203" s="13"/>
      <c r="Z203" s="13"/>
      <c r="AA203" s="13"/>
      <c r="AB203" s="13"/>
    </row>
    <row r="204" spans="1:28" s="10" customFormat="1" hidden="1" x14ac:dyDescent="0.2">
      <c r="C204" s="10" t="s">
        <v>166</v>
      </c>
      <c r="E204" s="11"/>
      <c r="F204" s="11"/>
      <c r="G204" s="11"/>
      <c r="H204" s="192"/>
      <c r="I204" s="194"/>
      <c r="J204" s="209">
        <f t="shared" si="6"/>
        <v>0</v>
      </c>
      <c r="K204" s="13"/>
      <c r="L204" s="13"/>
      <c r="M204" s="13"/>
      <c r="N204" s="13"/>
      <c r="O204" s="13"/>
      <c r="P204" s="13"/>
      <c r="Q204" s="13"/>
      <c r="R204" s="13"/>
      <c r="S204" s="13"/>
      <c r="T204" s="13"/>
      <c r="U204" s="13"/>
      <c r="V204" s="13"/>
      <c r="W204" s="13"/>
      <c r="X204" s="13"/>
      <c r="Y204" s="13"/>
      <c r="Z204" s="13"/>
      <c r="AA204" s="13"/>
      <c r="AB204" s="13"/>
    </row>
    <row r="205" spans="1:28" s="10" customFormat="1" hidden="1" x14ac:dyDescent="0.2">
      <c r="C205" s="10" t="s">
        <v>167</v>
      </c>
      <c r="E205" s="11"/>
      <c r="F205" s="11"/>
      <c r="G205" s="11"/>
      <c r="H205" s="192"/>
      <c r="I205" s="194"/>
      <c r="J205" s="209">
        <f t="shared" si="6"/>
        <v>0</v>
      </c>
      <c r="K205" s="13"/>
      <c r="L205" s="13"/>
      <c r="M205" s="13"/>
      <c r="N205" s="13"/>
      <c r="O205" s="13"/>
      <c r="P205" s="13"/>
      <c r="Q205" s="13"/>
      <c r="R205" s="13"/>
      <c r="S205" s="13"/>
      <c r="T205" s="13"/>
      <c r="U205" s="13"/>
      <c r="V205" s="13"/>
      <c r="W205" s="13"/>
      <c r="X205" s="13"/>
      <c r="Y205" s="13"/>
      <c r="Z205" s="13"/>
      <c r="AA205" s="13"/>
      <c r="AB205" s="13"/>
    </row>
    <row r="206" spans="1:28" s="10" customFormat="1" hidden="1" x14ac:dyDescent="0.2">
      <c r="C206" s="10" t="s">
        <v>168</v>
      </c>
      <c r="E206" s="11"/>
      <c r="F206" s="11"/>
      <c r="G206" s="11"/>
      <c r="H206" s="192"/>
      <c r="I206" s="194"/>
      <c r="J206" s="209">
        <f t="shared" si="6"/>
        <v>0</v>
      </c>
      <c r="K206" s="13"/>
      <c r="L206" s="13"/>
      <c r="M206" s="13"/>
      <c r="N206" s="13"/>
      <c r="O206" s="13"/>
      <c r="P206" s="13"/>
      <c r="Q206" s="13"/>
      <c r="R206" s="13"/>
      <c r="S206" s="13"/>
      <c r="T206" s="13"/>
      <c r="U206" s="13"/>
      <c r="V206" s="13"/>
      <c r="W206" s="13"/>
      <c r="X206" s="13"/>
      <c r="Y206" s="13"/>
      <c r="Z206" s="13"/>
      <c r="AA206" s="13"/>
      <c r="AB206" s="13"/>
    </row>
    <row r="207" spans="1:28" s="10" customFormat="1" x14ac:dyDescent="0.2">
      <c r="C207" s="211" t="s">
        <v>1022</v>
      </c>
      <c r="E207" s="5"/>
      <c r="F207" s="11"/>
      <c r="G207" s="11"/>
      <c r="H207" s="194"/>
      <c r="I207" s="29"/>
      <c r="J207" s="209">
        <f t="shared" si="6"/>
        <v>0</v>
      </c>
      <c r="K207" s="13"/>
      <c r="L207" s="13"/>
      <c r="M207" s="13"/>
      <c r="N207" s="13"/>
      <c r="O207" s="13"/>
      <c r="P207" s="13"/>
      <c r="Q207" s="13"/>
      <c r="R207" s="13"/>
      <c r="S207" s="13"/>
      <c r="T207" s="13"/>
      <c r="U207" s="13"/>
      <c r="V207" s="13"/>
      <c r="W207" s="13"/>
      <c r="X207" s="13"/>
      <c r="Y207" s="13"/>
      <c r="Z207" s="13"/>
      <c r="AA207" s="13"/>
      <c r="AB207" s="13"/>
    </row>
    <row r="208" spans="1:28" s="10" customFormat="1" x14ac:dyDescent="0.2">
      <c r="C208" s="211" t="s">
        <v>8</v>
      </c>
      <c r="E208" s="11"/>
      <c r="F208" s="11"/>
      <c r="G208" s="11"/>
      <c r="H208" s="29"/>
      <c r="I208" s="194"/>
      <c r="J208" s="209">
        <f t="shared" si="6"/>
        <v>0</v>
      </c>
      <c r="K208" s="13"/>
      <c r="L208" s="13"/>
      <c r="M208" s="13"/>
      <c r="N208" s="13"/>
      <c r="O208" s="13"/>
      <c r="P208" s="13"/>
      <c r="Q208" s="13"/>
      <c r="R208" s="13"/>
      <c r="S208" s="13"/>
      <c r="T208" s="13"/>
      <c r="U208" s="13"/>
      <c r="V208" s="13"/>
      <c r="W208" s="13"/>
      <c r="X208" s="13"/>
      <c r="Y208" s="13"/>
      <c r="Z208" s="13"/>
      <c r="AA208" s="13"/>
      <c r="AB208" s="13"/>
    </row>
    <row r="209" spans="2:28" s="10" customFormat="1" x14ac:dyDescent="0.2">
      <c r="C209" s="10" t="s">
        <v>108</v>
      </c>
      <c r="D209" s="18" t="s">
        <v>109</v>
      </c>
      <c r="E209" s="11"/>
      <c r="F209" s="11"/>
      <c r="G209" s="11"/>
      <c r="H209" s="15">
        <f>SUM(H201:H208)</f>
        <v>0</v>
      </c>
      <c r="I209" s="15">
        <f>SUM(I201:I208)</f>
        <v>0</v>
      </c>
      <c r="J209" s="15">
        <f>SUM(J201:J208)</f>
        <v>0</v>
      </c>
      <c r="K209" s="13"/>
      <c r="L209" s="13"/>
      <c r="M209" s="13"/>
      <c r="N209" s="13"/>
      <c r="O209" s="13"/>
      <c r="P209" s="13"/>
      <c r="Q209" s="13"/>
      <c r="R209" s="13"/>
      <c r="S209" s="13"/>
      <c r="T209" s="13"/>
      <c r="U209" s="13"/>
      <c r="V209" s="13"/>
      <c r="W209" s="13"/>
      <c r="X209" s="13"/>
      <c r="Y209" s="13"/>
      <c r="Z209" s="13"/>
      <c r="AA209" s="13"/>
      <c r="AB209" s="13"/>
    </row>
    <row r="210" spans="2:28" s="10" customFormat="1" x14ac:dyDescent="0.2">
      <c r="B210" s="10" t="s">
        <v>764</v>
      </c>
      <c r="E210" s="11"/>
      <c r="F210" s="11"/>
      <c r="G210" s="11"/>
      <c r="H210" s="12"/>
      <c r="I210" s="12"/>
      <c r="J210" s="12"/>
      <c r="K210" s="13"/>
      <c r="L210" s="13"/>
      <c r="M210" s="13"/>
      <c r="N210" s="13"/>
      <c r="O210" s="13"/>
      <c r="P210" s="13"/>
      <c r="Q210" s="13"/>
      <c r="R210" s="13"/>
      <c r="S210" s="13"/>
      <c r="T210" s="13"/>
      <c r="U210" s="13"/>
      <c r="V210" s="13"/>
      <c r="W210" s="13"/>
      <c r="X210" s="13"/>
      <c r="Y210" s="13"/>
      <c r="Z210" s="13"/>
      <c r="AA210" s="13"/>
      <c r="AB210" s="13"/>
    </row>
    <row r="211" spans="2:28" s="10" customFormat="1" hidden="1" x14ac:dyDescent="0.2">
      <c r="C211" s="10" t="s">
        <v>174</v>
      </c>
      <c r="E211" s="11"/>
      <c r="F211" s="11"/>
      <c r="G211" s="11"/>
      <c r="H211" s="264"/>
      <c r="I211" s="194"/>
      <c r="J211" s="209">
        <f t="shared" ref="J211:J222" si="7">SUM(H211:I211)</f>
        <v>0</v>
      </c>
      <c r="K211" s="13"/>
      <c r="L211" s="13"/>
      <c r="M211" s="13"/>
      <c r="N211" s="13"/>
      <c r="O211" s="13"/>
      <c r="P211" s="13"/>
      <c r="Q211" s="13"/>
      <c r="R211" s="13"/>
      <c r="S211" s="13"/>
      <c r="T211" s="13"/>
      <c r="U211" s="13"/>
      <c r="V211" s="13"/>
      <c r="W211" s="13"/>
      <c r="X211" s="13"/>
      <c r="Y211" s="13"/>
      <c r="Z211" s="13"/>
      <c r="AA211" s="13"/>
      <c r="AB211" s="13"/>
    </row>
    <row r="212" spans="2:28" s="10" customFormat="1" hidden="1" x14ac:dyDescent="0.2">
      <c r="C212" s="10" t="s">
        <v>164</v>
      </c>
      <c r="E212" s="11"/>
      <c r="F212" s="11"/>
      <c r="G212" s="11"/>
      <c r="H212" s="264"/>
      <c r="I212" s="194"/>
      <c r="J212" s="209">
        <f t="shared" si="7"/>
        <v>0</v>
      </c>
      <c r="K212" s="13"/>
      <c r="L212" s="13"/>
      <c r="M212" s="13"/>
      <c r="N212" s="13"/>
      <c r="O212" s="13"/>
      <c r="P212" s="13"/>
      <c r="Q212" s="13"/>
      <c r="R212" s="13"/>
      <c r="S212" s="13"/>
      <c r="T212" s="13"/>
      <c r="U212" s="13"/>
      <c r="V212" s="13"/>
      <c r="W212" s="13"/>
      <c r="X212" s="13"/>
      <c r="Y212" s="13"/>
      <c r="Z212" s="13"/>
      <c r="AA212" s="13"/>
      <c r="AB212" s="13"/>
    </row>
    <row r="213" spans="2:28" s="10" customFormat="1" hidden="1" x14ac:dyDescent="0.2">
      <c r="C213" s="10" t="s">
        <v>165</v>
      </c>
      <c r="E213" s="11"/>
      <c r="F213" s="11"/>
      <c r="G213" s="11"/>
      <c r="H213" s="264"/>
      <c r="I213" s="194"/>
      <c r="J213" s="209">
        <f t="shared" si="7"/>
        <v>0</v>
      </c>
      <c r="K213" s="13"/>
      <c r="L213" s="13"/>
      <c r="M213" s="13"/>
      <c r="N213" s="13"/>
      <c r="O213" s="13"/>
      <c r="P213" s="13"/>
      <c r="Q213" s="13"/>
      <c r="R213" s="13"/>
      <c r="S213" s="13"/>
      <c r="T213" s="13"/>
      <c r="U213" s="13"/>
      <c r="V213" s="13"/>
      <c r="W213" s="13"/>
      <c r="X213" s="13"/>
      <c r="Y213" s="13"/>
      <c r="Z213" s="13"/>
      <c r="AA213" s="13"/>
      <c r="AB213" s="13"/>
    </row>
    <row r="214" spans="2:28" s="10" customFormat="1" hidden="1" x14ac:dyDescent="0.2">
      <c r="C214" s="10" t="s">
        <v>166</v>
      </c>
      <c r="E214" s="11"/>
      <c r="F214" s="11"/>
      <c r="G214" s="11"/>
      <c r="H214" s="264"/>
      <c r="I214" s="194"/>
      <c r="J214" s="209">
        <f t="shared" si="7"/>
        <v>0</v>
      </c>
      <c r="K214" s="13"/>
      <c r="L214" s="13"/>
      <c r="M214" s="13"/>
      <c r="N214" s="13"/>
      <c r="O214" s="13"/>
      <c r="P214" s="13"/>
      <c r="Q214" s="13"/>
      <c r="R214" s="13"/>
      <c r="S214" s="13"/>
      <c r="T214" s="13"/>
      <c r="U214" s="13"/>
      <c r="V214" s="13"/>
      <c r="W214" s="13"/>
      <c r="X214" s="13"/>
      <c r="Y214" s="13"/>
      <c r="Z214" s="13"/>
      <c r="AA214" s="13"/>
      <c r="AB214" s="13"/>
    </row>
    <row r="215" spans="2:28" s="10" customFormat="1" hidden="1" x14ac:dyDescent="0.2">
      <c r="C215" s="10" t="s">
        <v>170</v>
      </c>
      <c r="E215" s="11"/>
      <c r="F215" s="11"/>
      <c r="G215" s="11"/>
      <c r="H215" s="264"/>
      <c r="I215" s="194"/>
      <c r="J215" s="209">
        <f t="shared" si="7"/>
        <v>0</v>
      </c>
      <c r="K215" s="13"/>
      <c r="L215" s="13"/>
      <c r="M215" s="13"/>
      <c r="N215" s="13"/>
      <c r="O215" s="13"/>
      <c r="P215" s="13"/>
      <c r="Q215" s="13"/>
      <c r="R215" s="13"/>
      <c r="S215" s="13"/>
      <c r="T215" s="13"/>
      <c r="U215" s="13"/>
      <c r="V215" s="13"/>
      <c r="W215" s="13"/>
      <c r="X215" s="13"/>
      <c r="Y215" s="13"/>
      <c r="Z215" s="13"/>
      <c r="AA215" s="13"/>
      <c r="AB215" s="13"/>
    </row>
    <row r="216" spans="2:28" s="10" customFormat="1" hidden="1" x14ac:dyDescent="0.2">
      <c r="C216" s="10" t="s">
        <v>171</v>
      </c>
      <c r="E216" s="11"/>
      <c r="F216" s="11"/>
      <c r="G216" s="11"/>
      <c r="H216" s="264"/>
      <c r="I216" s="194"/>
      <c r="J216" s="209">
        <f t="shared" si="7"/>
        <v>0</v>
      </c>
      <c r="K216" s="13"/>
      <c r="L216" s="13"/>
      <c r="M216" s="13"/>
      <c r="N216" s="13"/>
      <c r="O216" s="13"/>
      <c r="P216" s="13"/>
      <c r="Q216" s="13"/>
      <c r="R216" s="13"/>
      <c r="S216" s="13"/>
      <c r="T216" s="13"/>
      <c r="U216" s="13"/>
      <c r="V216" s="13"/>
      <c r="W216" s="13"/>
      <c r="X216" s="13"/>
      <c r="Y216" s="13"/>
      <c r="Z216" s="13"/>
      <c r="AA216" s="13"/>
      <c r="AB216" s="13"/>
    </row>
    <row r="217" spans="2:28" s="10" customFormat="1" hidden="1" x14ac:dyDescent="0.2">
      <c r="C217" s="10" t="s">
        <v>167</v>
      </c>
      <c r="E217" s="11"/>
      <c r="F217" s="11"/>
      <c r="G217" s="11"/>
      <c r="H217" s="264"/>
      <c r="I217" s="194"/>
      <c r="J217" s="209">
        <f t="shared" si="7"/>
        <v>0</v>
      </c>
      <c r="K217" s="13"/>
      <c r="L217" s="13"/>
      <c r="M217" s="13"/>
      <c r="N217" s="13"/>
      <c r="O217" s="13"/>
      <c r="P217" s="13"/>
      <c r="Q217" s="13"/>
      <c r="R217" s="13"/>
      <c r="S217" s="13"/>
      <c r="T217" s="13"/>
      <c r="U217" s="13"/>
      <c r="V217" s="13"/>
      <c r="W217" s="13"/>
      <c r="X217" s="13"/>
      <c r="Y217" s="13"/>
      <c r="Z217" s="13"/>
      <c r="AA217" s="13"/>
      <c r="AB217" s="13"/>
    </row>
    <row r="218" spans="2:28" s="10" customFormat="1" hidden="1" x14ac:dyDescent="0.2">
      <c r="C218" s="10" t="s">
        <v>172</v>
      </c>
      <c r="E218" s="11"/>
      <c r="F218" s="11"/>
      <c r="G218" s="11"/>
      <c r="H218" s="264"/>
      <c r="I218" s="194"/>
      <c r="J218" s="209">
        <f t="shared" si="7"/>
        <v>0</v>
      </c>
      <c r="K218" s="13"/>
      <c r="L218" s="13"/>
      <c r="M218" s="13"/>
      <c r="N218" s="13"/>
      <c r="O218" s="13"/>
      <c r="P218" s="13"/>
      <c r="Q218" s="13"/>
      <c r="R218" s="13"/>
      <c r="S218" s="13"/>
      <c r="T218" s="13"/>
      <c r="U218" s="13"/>
      <c r="V218" s="13"/>
      <c r="W218" s="13"/>
      <c r="X218" s="13"/>
      <c r="Y218" s="13"/>
      <c r="Z218" s="13"/>
      <c r="AA218" s="13"/>
      <c r="AB218" s="13"/>
    </row>
    <row r="219" spans="2:28" s="10" customFormat="1" hidden="1" x14ac:dyDescent="0.2">
      <c r="C219" s="10" t="s">
        <v>173</v>
      </c>
      <c r="E219" s="11"/>
      <c r="F219" s="11"/>
      <c r="G219" s="11"/>
      <c r="H219" s="264"/>
      <c r="I219" s="194"/>
      <c r="J219" s="209">
        <f t="shared" si="7"/>
        <v>0</v>
      </c>
      <c r="K219" s="13"/>
      <c r="L219" s="13"/>
      <c r="M219" s="13"/>
      <c r="N219" s="13"/>
      <c r="O219" s="13"/>
      <c r="P219" s="13"/>
      <c r="Q219" s="13"/>
      <c r="R219" s="13"/>
      <c r="S219" s="13"/>
      <c r="T219" s="13"/>
      <c r="U219" s="13"/>
      <c r="V219" s="13"/>
      <c r="W219" s="13"/>
      <c r="X219" s="13"/>
      <c r="Y219" s="13"/>
      <c r="Z219" s="13"/>
      <c r="AA219" s="13"/>
      <c r="AB219" s="13"/>
    </row>
    <row r="220" spans="2:28" s="10" customFormat="1" x14ac:dyDescent="0.2">
      <c r="C220" s="211" t="s">
        <v>1307</v>
      </c>
      <c r="D220" s="211"/>
      <c r="E220" s="11"/>
      <c r="F220" s="11"/>
      <c r="G220" s="11"/>
      <c r="H220" s="396"/>
      <c r="I220" s="194"/>
      <c r="J220" s="209">
        <f t="shared" si="7"/>
        <v>0</v>
      </c>
      <c r="K220" s="13"/>
      <c r="L220" s="13"/>
      <c r="M220" s="13"/>
      <c r="N220" s="13"/>
      <c r="O220" s="13"/>
      <c r="P220" s="13"/>
      <c r="Q220" s="13"/>
      <c r="R220" s="13"/>
      <c r="S220" s="13"/>
      <c r="T220" s="13"/>
      <c r="U220" s="13"/>
      <c r="V220" s="13"/>
      <c r="W220" s="13"/>
      <c r="X220" s="13"/>
      <c r="Y220" s="13"/>
      <c r="Z220" s="13"/>
      <c r="AA220" s="13"/>
      <c r="AB220" s="13"/>
    </row>
    <row r="221" spans="2:28" s="10" customFormat="1" x14ac:dyDescent="0.2">
      <c r="C221" s="211" t="s">
        <v>1022</v>
      </c>
      <c r="E221" s="5"/>
      <c r="F221" s="11"/>
      <c r="G221" s="11"/>
      <c r="H221" s="194"/>
      <c r="I221" s="29"/>
      <c r="J221" s="209">
        <f t="shared" si="7"/>
        <v>0</v>
      </c>
      <c r="K221" s="13"/>
      <c r="L221" s="13"/>
      <c r="M221" s="13"/>
      <c r="N221" s="13"/>
      <c r="O221" s="13"/>
      <c r="P221" s="13"/>
      <c r="Q221" s="13"/>
      <c r="R221" s="13"/>
      <c r="S221" s="13"/>
      <c r="T221" s="13"/>
      <c r="U221" s="13"/>
      <c r="V221" s="13"/>
      <c r="W221" s="13"/>
      <c r="X221" s="13"/>
      <c r="Y221" s="13"/>
      <c r="Z221" s="13"/>
      <c r="AA221" s="13"/>
      <c r="AB221" s="13"/>
    </row>
    <row r="222" spans="2:28" s="10" customFormat="1" x14ac:dyDescent="0.2">
      <c r="C222" s="211" t="s">
        <v>8</v>
      </c>
      <c r="E222" s="11"/>
      <c r="F222" s="11"/>
      <c r="G222" s="11"/>
      <c r="H222" s="193"/>
      <c r="I222" s="194"/>
      <c r="J222" s="209">
        <f t="shared" si="7"/>
        <v>0</v>
      </c>
      <c r="K222" s="13"/>
      <c r="L222" s="13"/>
      <c r="M222" s="13"/>
      <c r="N222" s="13"/>
      <c r="O222" s="13"/>
      <c r="P222" s="13"/>
      <c r="Q222" s="13"/>
      <c r="R222" s="13"/>
      <c r="S222" s="13"/>
      <c r="T222" s="13"/>
      <c r="U222" s="13"/>
      <c r="V222" s="13"/>
      <c r="W222" s="13"/>
      <c r="X222" s="13"/>
      <c r="Y222" s="13"/>
      <c r="Z222" s="13"/>
      <c r="AA222" s="13"/>
      <c r="AB222" s="13"/>
    </row>
    <row r="223" spans="2:28" s="10" customFormat="1" x14ac:dyDescent="0.2">
      <c r="D223" s="18" t="s">
        <v>110</v>
      </c>
      <c r="E223" s="11"/>
      <c r="F223" s="11"/>
      <c r="G223" s="11"/>
      <c r="H223" s="15">
        <f>SUM(H211:H222)</f>
        <v>0</v>
      </c>
      <c r="I223" s="15">
        <f>SUM(I211:I222)</f>
        <v>0</v>
      </c>
      <c r="J223" s="15">
        <f>SUM(J211:J222)</f>
        <v>0</v>
      </c>
      <c r="K223" s="13"/>
      <c r="L223" s="13"/>
      <c r="M223" s="13"/>
      <c r="N223" s="13"/>
      <c r="O223" s="13"/>
      <c r="P223" s="13"/>
      <c r="Q223" s="13"/>
      <c r="R223" s="13"/>
      <c r="S223" s="13"/>
      <c r="T223" s="13"/>
      <c r="U223" s="13"/>
      <c r="V223" s="13"/>
      <c r="W223" s="13"/>
      <c r="X223" s="13"/>
      <c r="Y223" s="13"/>
      <c r="Z223" s="13"/>
      <c r="AA223" s="13"/>
      <c r="AB223" s="13"/>
    </row>
    <row r="224" spans="2:28" s="10" customFormat="1" x14ac:dyDescent="0.2">
      <c r="E224" s="11"/>
      <c r="F224" s="11"/>
      <c r="G224" s="11"/>
      <c r="H224" s="12"/>
      <c r="I224" s="12"/>
      <c r="J224" s="12"/>
      <c r="K224" s="13"/>
      <c r="L224" s="13"/>
      <c r="M224" s="13"/>
      <c r="N224" s="13"/>
      <c r="O224" s="13"/>
      <c r="P224" s="13"/>
      <c r="Q224" s="13"/>
      <c r="R224" s="13"/>
      <c r="S224" s="13"/>
      <c r="T224" s="13"/>
      <c r="U224" s="13"/>
      <c r="V224" s="13"/>
      <c r="W224" s="13"/>
      <c r="X224" s="13"/>
      <c r="Y224" s="13"/>
      <c r="Z224" s="13"/>
      <c r="AA224" s="13"/>
      <c r="AB224" s="13"/>
    </row>
    <row r="225" spans="1:28" s="10" customFormat="1" x14ac:dyDescent="0.2">
      <c r="A225" s="18" t="s">
        <v>495</v>
      </c>
      <c r="E225" s="11"/>
      <c r="F225" s="11"/>
      <c r="G225" s="11"/>
      <c r="H225" s="29"/>
      <c r="I225" s="29"/>
      <c r="J225" s="209">
        <f>SUM(H225:I225)</f>
        <v>0</v>
      </c>
      <c r="K225" s="13"/>
      <c r="L225" s="13"/>
      <c r="M225" s="13"/>
      <c r="N225" s="13"/>
      <c r="O225" s="13"/>
      <c r="P225" s="13"/>
      <c r="Q225" s="13"/>
      <c r="R225" s="13"/>
      <c r="S225" s="13"/>
      <c r="T225" s="13"/>
      <c r="U225" s="13"/>
      <c r="V225" s="13"/>
      <c r="W225" s="13"/>
      <c r="X225" s="13"/>
      <c r="Y225" s="13"/>
      <c r="Z225" s="13"/>
      <c r="AA225" s="13"/>
      <c r="AB225" s="13"/>
    </row>
    <row r="226" spans="1:28" s="10" customFormat="1" ht="12.75" thickBot="1" x14ac:dyDescent="0.25">
      <c r="A226" s="18" t="s">
        <v>855</v>
      </c>
      <c r="E226" s="11"/>
      <c r="F226" s="11"/>
      <c r="G226" s="11"/>
      <c r="H226" s="20">
        <f>SUM(H198,H209,H223,H225)</f>
        <v>0</v>
      </c>
      <c r="I226" s="20">
        <f>SUM(I198,I209,I223,I225)</f>
        <v>0</v>
      </c>
      <c r="J226" s="20">
        <f>IF(SUM(J198,J209,J223,J225)=SUM(J122-J195),SUM(J198,J209,J223,J225),"ERROR")</f>
        <v>0</v>
      </c>
      <c r="K226" s="13"/>
      <c r="L226" s="13"/>
      <c r="M226" s="13"/>
      <c r="N226" s="13"/>
      <c r="O226" s="13"/>
      <c r="P226" s="13"/>
      <c r="Q226" s="13"/>
      <c r="R226" s="13"/>
      <c r="S226" s="13"/>
      <c r="T226" s="13"/>
      <c r="U226" s="13"/>
      <c r="V226" s="13"/>
      <c r="W226" s="13"/>
      <c r="X226" s="13"/>
      <c r="Y226" s="13"/>
      <c r="Z226" s="13"/>
      <c r="AA226" s="13"/>
      <c r="AB226" s="13"/>
    </row>
    <row r="227" spans="1:28" s="10" customFormat="1" ht="12.75" thickTop="1" x14ac:dyDescent="0.2">
      <c r="E227" s="11"/>
      <c r="F227" s="11"/>
      <c r="G227" s="409" t="s">
        <v>203</v>
      </c>
      <c r="H227" s="410">
        <f>H122-H195</f>
        <v>0</v>
      </c>
      <c r="I227" s="410">
        <f>I122-I195</f>
        <v>0</v>
      </c>
      <c r="J227" s="410">
        <f>J122-J195</f>
        <v>0</v>
      </c>
      <c r="K227" s="13"/>
      <c r="L227" s="13"/>
      <c r="M227" s="13"/>
      <c r="N227" s="13"/>
      <c r="O227" s="13"/>
      <c r="P227" s="13"/>
      <c r="Q227" s="13"/>
      <c r="R227" s="13"/>
      <c r="S227" s="13"/>
      <c r="T227" s="13"/>
      <c r="U227" s="13"/>
      <c r="V227" s="13"/>
      <c r="W227" s="13"/>
      <c r="X227" s="13"/>
      <c r="Y227" s="13"/>
      <c r="Z227" s="13"/>
      <c r="AA227" s="13"/>
      <c r="AB227" s="13"/>
    </row>
    <row r="228" spans="1:28" s="10" customFormat="1" ht="12.75" x14ac:dyDescent="0.2">
      <c r="A228" s="409"/>
      <c r="B228"/>
      <c r="C228"/>
      <c r="D228"/>
      <c r="E228"/>
      <c r="F228"/>
      <c r="G228" s="409" t="s">
        <v>857</v>
      </c>
      <c r="H228" s="410">
        <f>SUM(H198,H209,H223,H225)</f>
        <v>0</v>
      </c>
      <c r="I228" s="410">
        <f>SUM(I198,I209,I223,I225)</f>
        <v>0</v>
      </c>
      <c r="J228" s="410">
        <f>SUM(J198,J209,J223,J225)</f>
        <v>0</v>
      </c>
      <c r="K228" s="13"/>
      <c r="L228" s="13"/>
      <c r="M228" s="13"/>
      <c r="N228" s="13"/>
      <c r="O228" s="13"/>
      <c r="P228" s="13"/>
      <c r="Q228" s="13"/>
      <c r="R228" s="13"/>
      <c r="S228" s="13"/>
      <c r="T228" s="13"/>
      <c r="U228" s="13"/>
      <c r="V228" s="13"/>
      <c r="W228" s="13"/>
      <c r="X228" s="13"/>
      <c r="Y228" s="13"/>
      <c r="Z228" s="13"/>
      <c r="AA228" s="13"/>
      <c r="AB228" s="13"/>
    </row>
    <row r="229" spans="1:28" s="10" customFormat="1" x14ac:dyDescent="0.2">
      <c r="B229" s="21"/>
      <c r="E229" s="11"/>
      <c r="F229" s="11"/>
      <c r="G229" s="409" t="s">
        <v>114</v>
      </c>
      <c r="H229" s="410">
        <f>H227-H228</f>
        <v>0</v>
      </c>
      <c r="I229" s="410">
        <f>I227-I228</f>
        <v>0</v>
      </c>
      <c r="J229" s="410">
        <f>J227-J228</f>
        <v>0</v>
      </c>
      <c r="K229" s="13"/>
      <c r="L229" s="13"/>
      <c r="M229" s="13"/>
      <c r="N229" s="13"/>
      <c r="O229" s="13"/>
      <c r="P229" s="13"/>
      <c r="Q229" s="13"/>
      <c r="R229" s="13"/>
      <c r="S229" s="13"/>
      <c r="T229" s="13"/>
      <c r="U229" s="13"/>
      <c r="V229" s="13"/>
      <c r="W229" s="13"/>
      <c r="X229" s="13"/>
      <c r="Y229" s="13"/>
      <c r="Z229" s="13"/>
      <c r="AA229" s="13"/>
      <c r="AB229" s="13"/>
    </row>
    <row r="230" spans="1:28" s="10" customFormat="1" x14ac:dyDescent="0.2">
      <c r="B230" s="21"/>
      <c r="E230" s="11"/>
      <c r="F230" s="11"/>
      <c r="G230" s="11"/>
      <c r="H230" s="12"/>
      <c r="I230" s="12"/>
      <c r="J230" s="12"/>
      <c r="K230" s="13"/>
      <c r="L230" s="13"/>
      <c r="M230" s="13"/>
      <c r="N230" s="13"/>
      <c r="O230" s="13"/>
      <c r="P230" s="13"/>
      <c r="Q230" s="13"/>
      <c r="R230" s="13"/>
      <c r="S230" s="13"/>
      <c r="T230" s="13"/>
      <c r="U230" s="13"/>
      <c r="V230" s="13"/>
      <c r="W230" s="13"/>
      <c r="X230" s="13"/>
      <c r="Y230" s="13"/>
      <c r="Z230" s="13"/>
      <c r="AA230" s="13"/>
      <c r="AB230" s="13"/>
    </row>
    <row r="231" spans="1:28" s="10" customFormat="1" x14ac:dyDescent="0.2">
      <c r="B231" s="21"/>
      <c r="E231" s="11"/>
      <c r="F231" s="11"/>
      <c r="G231" s="11"/>
      <c r="H231" s="12"/>
      <c r="I231" s="12"/>
      <c r="J231" s="12"/>
      <c r="K231" s="13"/>
      <c r="L231" s="13"/>
      <c r="M231" s="13"/>
      <c r="N231" s="13"/>
      <c r="O231" s="13"/>
      <c r="P231" s="13"/>
      <c r="Q231" s="13"/>
      <c r="R231" s="13"/>
      <c r="S231" s="13"/>
      <c r="T231" s="13"/>
      <c r="U231" s="13"/>
      <c r="V231" s="13"/>
      <c r="W231" s="13"/>
      <c r="X231" s="13"/>
      <c r="Y231" s="13"/>
      <c r="Z231" s="13"/>
      <c r="AA231" s="13"/>
      <c r="AB231" s="13"/>
    </row>
    <row r="232" spans="1:28" s="10" customFormat="1" ht="42.75" customHeight="1" x14ac:dyDescent="0.2">
      <c r="A232" s="1"/>
      <c r="B232" s="211"/>
      <c r="C232" s="211"/>
      <c r="E232" s="11"/>
      <c r="F232" s="11"/>
      <c r="G232" s="11"/>
      <c r="H232" s="12"/>
      <c r="I232" s="12"/>
      <c r="J232" s="12"/>
      <c r="K232" s="13"/>
      <c r="L232" s="13"/>
      <c r="M232" s="13"/>
      <c r="N232" s="13"/>
      <c r="O232" s="13"/>
      <c r="P232" s="13"/>
      <c r="Q232" s="13"/>
      <c r="R232" s="13"/>
      <c r="S232" s="13"/>
      <c r="T232" s="13"/>
      <c r="U232" s="13"/>
      <c r="V232" s="13"/>
      <c r="W232" s="13"/>
      <c r="X232" s="13"/>
      <c r="Y232" s="13"/>
      <c r="Z232" s="13"/>
      <c r="AA232" s="13"/>
      <c r="AB232" s="13"/>
    </row>
    <row r="233" spans="1:28" s="10" customFormat="1" x14ac:dyDescent="0.2">
      <c r="A233" s="1" t="s">
        <v>490</v>
      </c>
      <c r="E233" s="11"/>
      <c r="F233" s="11"/>
      <c r="G233" s="11"/>
      <c r="H233" s="12"/>
      <c r="I233" s="12"/>
      <c r="J233" s="12"/>
      <c r="K233" s="13"/>
      <c r="L233" s="13"/>
      <c r="M233" s="13"/>
      <c r="N233" s="13"/>
      <c r="O233" s="13"/>
      <c r="P233" s="13"/>
      <c r="Q233" s="13"/>
      <c r="R233" s="13"/>
      <c r="S233" s="13"/>
      <c r="T233" s="13"/>
      <c r="U233" s="13"/>
      <c r="V233" s="13"/>
      <c r="W233" s="13"/>
      <c r="X233" s="13"/>
      <c r="Y233" s="13"/>
      <c r="Z233" s="13"/>
      <c r="AA233" s="13"/>
      <c r="AB233" s="13"/>
    </row>
    <row r="234" spans="1:28" x14ac:dyDescent="0.2">
      <c r="A234" s="1"/>
      <c r="E234" s="11"/>
      <c r="K234" s="23"/>
      <c r="L234" s="23"/>
      <c r="M234" s="23"/>
      <c r="N234" s="23"/>
      <c r="O234" s="23"/>
      <c r="P234" s="23"/>
      <c r="Q234" s="23"/>
      <c r="R234" s="23"/>
      <c r="S234" s="23"/>
      <c r="T234" s="23"/>
      <c r="U234" s="23"/>
      <c r="V234" s="23"/>
      <c r="W234" s="23"/>
      <c r="X234" s="23"/>
      <c r="Y234" s="23"/>
      <c r="Z234" s="23"/>
      <c r="AA234" s="23"/>
      <c r="AB234" s="23"/>
    </row>
    <row r="235" spans="1:28" x14ac:dyDescent="0.2">
      <c r="A235" s="1" t="s">
        <v>489</v>
      </c>
      <c r="B235" s="13"/>
      <c r="E235" s="11"/>
      <c r="K235" s="23"/>
      <c r="L235" s="23"/>
      <c r="M235" s="23"/>
      <c r="N235" s="23"/>
      <c r="O235" s="23"/>
      <c r="P235" s="23"/>
      <c r="Q235" s="23"/>
      <c r="R235" s="23"/>
      <c r="S235" s="23"/>
      <c r="T235" s="23"/>
      <c r="U235" s="23"/>
      <c r="V235" s="23"/>
      <c r="W235" s="23"/>
      <c r="X235" s="23"/>
      <c r="Y235" s="23"/>
      <c r="Z235" s="23"/>
      <c r="AA235" s="23"/>
      <c r="AB235" s="23"/>
    </row>
    <row r="236" spans="1:28" x14ac:dyDescent="0.2">
      <c r="A236" s="10"/>
      <c r="B236" s="18" t="s">
        <v>444</v>
      </c>
      <c r="C236" s="18"/>
      <c r="E236" s="11"/>
      <c r="H236" s="30"/>
      <c r="I236" s="30"/>
      <c r="J236" s="3">
        <f>SUM(H236:I236)</f>
        <v>0</v>
      </c>
      <c r="K236" s="23"/>
      <c r="L236" s="23"/>
      <c r="M236" s="23"/>
      <c r="N236" s="23"/>
      <c r="O236" s="23"/>
      <c r="P236" s="23"/>
      <c r="Q236" s="23"/>
      <c r="R236" s="23"/>
      <c r="S236" s="23"/>
      <c r="T236" s="23"/>
      <c r="U236" s="23"/>
      <c r="V236" s="23"/>
      <c r="W236" s="23"/>
      <c r="X236" s="23"/>
      <c r="Y236" s="23"/>
      <c r="Z236" s="23"/>
      <c r="AA236" s="23"/>
      <c r="AB236" s="23"/>
    </row>
    <row r="237" spans="1:28" x14ac:dyDescent="0.2">
      <c r="A237" s="10"/>
      <c r="B237" s="18" t="s">
        <v>399</v>
      </c>
      <c r="C237" s="18"/>
      <c r="E237" s="11"/>
      <c r="H237" s="30"/>
      <c r="I237" s="30"/>
      <c r="J237" s="3">
        <f>SUM(H237:I237)</f>
        <v>0</v>
      </c>
      <c r="K237" s="23"/>
      <c r="L237" s="23"/>
      <c r="M237" s="23"/>
      <c r="N237" s="23"/>
      <c r="O237" s="23"/>
      <c r="P237" s="23"/>
      <c r="Q237" s="23"/>
      <c r="R237" s="23"/>
      <c r="S237" s="23"/>
      <c r="T237" s="23"/>
      <c r="U237" s="23"/>
      <c r="V237" s="23"/>
      <c r="W237" s="23"/>
      <c r="X237" s="23"/>
      <c r="Y237" s="23"/>
      <c r="Z237" s="23"/>
      <c r="AA237" s="23"/>
      <c r="AB237" s="23"/>
    </row>
    <row r="238" spans="1:28" x14ac:dyDescent="0.2">
      <c r="A238" s="10"/>
      <c r="B238" s="18" t="s">
        <v>400</v>
      </c>
      <c r="C238" s="18"/>
      <c r="E238" s="11"/>
      <c r="H238" s="30"/>
      <c r="I238" s="30"/>
      <c r="J238" s="3">
        <f>SUM(H238:I238)</f>
        <v>0</v>
      </c>
      <c r="K238" s="23"/>
      <c r="L238" s="23"/>
      <c r="M238" s="23"/>
      <c r="N238" s="23"/>
      <c r="O238" s="23"/>
      <c r="P238" s="23"/>
      <c r="Q238" s="23"/>
      <c r="R238" s="23"/>
      <c r="S238" s="23"/>
      <c r="T238" s="23"/>
      <c r="U238" s="23"/>
      <c r="V238" s="23"/>
      <c r="W238" s="23"/>
      <c r="X238" s="23"/>
      <c r="Y238" s="23"/>
      <c r="Z238" s="23"/>
      <c r="AA238" s="23"/>
      <c r="AB238" s="23"/>
    </row>
    <row r="239" spans="1:28" x14ac:dyDescent="0.2">
      <c r="A239" s="10"/>
      <c r="B239" s="13"/>
      <c r="C239" s="10"/>
      <c r="E239" s="11"/>
      <c r="K239" s="23"/>
      <c r="L239" s="23"/>
      <c r="M239" s="23"/>
      <c r="N239" s="23"/>
      <c r="O239" s="23"/>
      <c r="P239" s="23"/>
      <c r="Q239" s="23"/>
      <c r="R239" s="23"/>
      <c r="S239" s="23"/>
      <c r="T239" s="23"/>
      <c r="U239" s="23"/>
      <c r="V239" s="23"/>
      <c r="W239" s="23"/>
      <c r="X239" s="23"/>
      <c r="Y239" s="23"/>
      <c r="Z239" s="23"/>
      <c r="AA239" s="23"/>
      <c r="AB239" s="23"/>
    </row>
    <row r="240" spans="1:28" x14ac:dyDescent="0.2">
      <c r="A240" s="1" t="s">
        <v>123</v>
      </c>
      <c r="B240" s="13"/>
      <c r="C240" s="10"/>
      <c r="E240" s="11"/>
      <c r="K240" s="23"/>
      <c r="L240" s="23"/>
      <c r="M240" s="23"/>
      <c r="N240" s="23"/>
      <c r="O240" s="23"/>
      <c r="P240" s="23"/>
      <c r="Q240" s="23"/>
      <c r="R240" s="23"/>
      <c r="S240" s="23"/>
      <c r="T240" s="23"/>
      <c r="U240" s="23"/>
      <c r="V240" s="23"/>
      <c r="W240" s="23"/>
      <c r="X240" s="23"/>
      <c r="Y240" s="23"/>
      <c r="Z240" s="23"/>
      <c r="AA240" s="23"/>
      <c r="AB240" s="23"/>
    </row>
    <row r="241" spans="1:28" x14ac:dyDescent="0.2">
      <c r="A241" s="18" t="s">
        <v>122</v>
      </c>
      <c r="B241" s="13"/>
      <c r="C241" s="10"/>
      <c r="E241" s="11"/>
      <c r="H241" s="30"/>
      <c r="I241" s="30"/>
      <c r="J241" s="196">
        <f>SUM(H241:I241)</f>
        <v>0</v>
      </c>
      <c r="K241" s="23"/>
      <c r="L241" s="23"/>
      <c r="M241" s="23"/>
      <c r="N241" s="23"/>
      <c r="O241" s="23"/>
      <c r="P241" s="23"/>
      <c r="Q241" s="23"/>
      <c r="R241" s="23"/>
      <c r="S241" s="23"/>
      <c r="T241" s="23"/>
      <c r="U241" s="23"/>
      <c r="V241" s="23"/>
      <c r="W241" s="23"/>
      <c r="X241" s="23"/>
      <c r="Y241" s="23"/>
      <c r="Z241" s="23"/>
      <c r="AA241" s="23"/>
      <c r="AB241" s="23"/>
    </row>
    <row r="242" spans="1:28" x14ac:dyDescent="0.2">
      <c r="A242" s="18" t="s">
        <v>642</v>
      </c>
      <c r="B242" s="13"/>
      <c r="C242" s="10"/>
      <c r="E242" s="5"/>
      <c r="H242" s="30"/>
      <c r="I242" s="30"/>
      <c r="J242" s="196">
        <f>SUM(H242:I242)</f>
        <v>0</v>
      </c>
      <c r="K242" s="23"/>
      <c r="L242" s="23"/>
      <c r="M242" s="23"/>
      <c r="N242" s="23"/>
      <c r="O242" s="23"/>
      <c r="P242" s="23"/>
      <c r="Q242" s="23"/>
      <c r="R242" s="23"/>
      <c r="S242" s="23"/>
      <c r="T242" s="23"/>
      <c r="U242" s="23"/>
      <c r="V242" s="23"/>
      <c r="W242" s="23"/>
      <c r="X242" s="23"/>
      <c r="Y242" s="23"/>
      <c r="Z242" s="23"/>
      <c r="AA242" s="23"/>
      <c r="AB242" s="23"/>
    </row>
    <row r="243" spans="1:28" x14ac:dyDescent="0.2">
      <c r="A243" s="1"/>
      <c r="B243" s="13"/>
      <c r="E243" s="11"/>
      <c r="K243" s="23"/>
      <c r="L243" s="23"/>
      <c r="M243" s="23"/>
      <c r="N243" s="23"/>
      <c r="O243" s="23"/>
      <c r="P243" s="23"/>
      <c r="Q243" s="23"/>
      <c r="R243" s="23"/>
      <c r="S243" s="23"/>
      <c r="T243" s="23"/>
      <c r="U243" s="23"/>
      <c r="V243" s="23"/>
      <c r="W243" s="23"/>
      <c r="X243" s="23"/>
      <c r="Y243" s="23"/>
      <c r="Z243" s="23"/>
      <c r="AA243" s="23"/>
      <c r="AB243" s="23"/>
    </row>
    <row r="244" spans="1:28" x14ac:dyDescent="0.2">
      <c r="A244" s="1" t="s">
        <v>474</v>
      </c>
      <c r="B244" s="25"/>
      <c r="E244" s="11"/>
      <c r="H244" s="26">
        <f>SUM(H236:H238)-SUM(H241,H242)</f>
        <v>0</v>
      </c>
      <c r="I244" s="26">
        <f>SUM(I236:I238)-SUM(I241,I242)</f>
        <v>0</v>
      </c>
      <c r="J244" s="26">
        <f>SUM(J236:J238)-SUM(J241,J242)</f>
        <v>0</v>
      </c>
      <c r="K244" s="23"/>
      <c r="L244" s="23"/>
      <c r="M244" s="23"/>
      <c r="N244" s="23"/>
      <c r="O244" s="23"/>
      <c r="P244" s="23"/>
      <c r="Q244" s="23"/>
      <c r="R244" s="23"/>
      <c r="S244" s="23"/>
      <c r="T244" s="23"/>
      <c r="U244" s="23"/>
      <c r="V244" s="23"/>
      <c r="W244" s="23"/>
      <c r="X244" s="23"/>
      <c r="Y244" s="23"/>
      <c r="Z244" s="23"/>
      <c r="AA244" s="23"/>
      <c r="AB244" s="23"/>
    </row>
    <row r="245" spans="1:28" x14ac:dyDescent="0.2">
      <c r="A245" s="10"/>
      <c r="B245" s="25"/>
      <c r="E245" s="11"/>
      <c r="K245" s="23"/>
      <c r="L245" s="23"/>
      <c r="M245" s="23"/>
      <c r="N245" s="23"/>
      <c r="O245" s="23"/>
      <c r="P245" s="23"/>
      <c r="Q245" s="23"/>
      <c r="R245" s="23"/>
      <c r="S245" s="23"/>
      <c r="T245" s="23"/>
      <c r="U245" s="23"/>
      <c r="V245" s="23"/>
      <c r="W245" s="23"/>
      <c r="X245" s="23"/>
      <c r="Y245" s="23"/>
      <c r="Z245" s="23"/>
      <c r="AA245" s="23"/>
      <c r="AB245" s="23"/>
    </row>
    <row r="246" spans="1:28" x14ac:dyDescent="0.2">
      <c r="A246" s="1" t="s">
        <v>465</v>
      </c>
      <c r="B246" s="10"/>
      <c r="E246" s="11"/>
      <c r="K246" s="23"/>
      <c r="L246" s="23"/>
      <c r="M246" s="23"/>
      <c r="N246" s="23"/>
      <c r="O246" s="23"/>
      <c r="P246" s="23"/>
      <c r="Q246" s="23"/>
      <c r="R246" s="23"/>
      <c r="S246" s="23"/>
      <c r="T246" s="23"/>
      <c r="U246" s="23"/>
      <c r="V246" s="23"/>
      <c r="W246" s="23"/>
      <c r="X246" s="23"/>
      <c r="Y246" s="23"/>
      <c r="Z246" s="23"/>
      <c r="AA246" s="23"/>
      <c r="AB246" s="23"/>
    </row>
    <row r="247" spans="1:28" x14ac:dyDescent="0.2">
      <c r="A247" s="13" t="s">
        <v>540</v>
      </c>
      <c r="E247" s="11"/>
      <c r="K247" s="23"/>
      <c r="L247" s="23"/>
      <c r="M247" s="23"/>
      <c r="N247" s="23"/>
      <c r="O247" s="23"/>
      <c r="P247" s="23"/>
      <c r="Q247" s="23"/>
      <c r="R247" s="23"/>
      <c r="S247" s="23"/>
      <c r="T247" s="23"/>
      <c r="U247" s="23"/>
      <c r="V247" s="23"/>
      <c r="W247" s="23"/>
      <c r="X247" s="23"/>
      <c r="Y247" s="23"/>
      <c r="Z247" s="23"/>
      <c r="AA247" s="23"/>
      <c r="AB247" s="23"/>
    </row>
    <row r="248" spans="1:28" x14ac:dyDescent="0.2">
      <c r="A248" s="23" t="s">
        <v>1215</v>
      </c>
      <c r="B248" s="10"/>
      <c r="E248" s="11"/>
      <c r="K248" s="23"/>
      <c r="L248" s="23"/>
      <c r="M248" s="23"/>
      <c r="N248" s="23"/>
      <c r="O248" s="23"/>
      <c r="P248" s="23"/>
      <c r="Q248" s="23"/>
      <c r="R248" s="23"/>
      <c r="S248" s="23"/>
      <c r="T248" s="23"/>
      <c r="U248" s="23"/>
      <c r="V248" s="23"/>
      <c r="W248" s="23"/>
      <c r="X248" s="23"/>
      <c r="Y248" s="23"/>
      <c r="Z248" s="23"/>
      <c r="AA248" s="23"/>
      <c r="AB248" s="23"/>
    </row>
    <row r="249" spans="1:28" x14ac:dyDescent="0.2">
      <c r="A249" s="10"/>
      <c r="B249" s="23" t="s">
        <v>1023</v>
      </c>
      <c r="C249" s="13"/>
      <c r="D249" s="13"/>
      <c r="E249" s="11"/>
      <c r="H249" s="30"/>
      <c r="I249" s="197"/>
      <c r="J249" s="196">
        <f>SUM(H249:I249)</f>
        <v>0</v>
      </c>
      <c r="K249" s="23"/>
      <c r="L249" s="23"/>
      <c r="M249" s="23"/>
      <c r="N249" s="23"/>
      <c r="O249" s="23"/>
      <c r="P249" s="23"/>
      <c r="Q249" s="23"/>
      <c r="R249" s="23"/>
      <c r="S249" s="23"/>
      <c r="T249" s="23"/>
      <c r="U249" s="23"/>
      <c r="V249" s="23"/>
      <c r="W249" s="23"/>
      <c r="X249" s="23"/>
      <c r="Y249" s="23"/>
      <c r="Z249" s="23"/>
      <c r="AA249" s="23"/>
      <c r="AB249" s="23"/>
    </row>
    <row r="250" spans="1:28" x14ac:dyDescent="0.2">
      <c r="A250" s="10"/>
      <c r="B250" s="23" t="s">
        <v>1132</v>
      </c>
      <c r="C250" s="13"/>
      <c r="D250" s="13"/>
      <c r="E250" s="11"/>
      <c r="H250" s="30"/>
      <c r="I250" s="197"/>
      <c r="J250" s="196">
        <f t="shared" ref="J250:J258" si="8">SUM(H250:I250)</f>
        <v>0</v>
      </c>
      <c r="K250" s="23"/>
      <c r="L250" s="23"/>
      <c r="M250" s="23"/>
      <c r="N250" s="23"/>
      <c r="O250" s="23"/>
      <c r="P250" s="23"/>
      <c r="Q250" s="23"/>
      <c r="R250" s="23"/>
      <c r="S250" s="23"/>
      <c r="T250" s="23"/>
      <c r="U250" s="23"/>
      <c r="V250" s="23"/>
      <c r="W250" s="23"/>
      <c r="X250" s="23"/>
      <c r="Y250" s="23"/>
      <c r="Z250" s="23"/>
      <c r="AA250" s="23"/>
      <c r="AB250" s="23"/>
    </row>
    <row r="251" spans="1:28" x14ac:dyDescent="0.2">
      <c r="A251" s="10"/>
      <c r="B251" s="23" t="s">
        <v>1133</v>
      </c>
      <c r="C251" s="13"/>
      <c r="D251" s="13"/>
      <c r="E251" s="11"/>
      <c r="H251" s="30"/>
      <c r="I251" s="197"/>
      <c r="J251" s="196">
        <f t="shared" si="8"/>
        <v>0</v>
      </c>
      <c r="K251" s="23"/>
      <c r="L251" s="23"/>
      <c r="M251" s="23"/>
      <c r="N251" s="23"/>
      <c r="O251" s="23"/>
      <c r="P251" s="23"/>
      <c r="Q251" s="23"/>
      <c r="R251" s="23"/>
      <c r="S251" s="23"/>
      <c r="T251" s="23"/>
      <c r="U251" s="23"/>
      <c r="V251" s="23"/>
      <c r="W251" s="23"/>
      <c r="X251" s="23"/>
      <c r="Y251" s="23"/>
      <c r="Z251" s="23"/>
      <c r="AA251" s="23"/>
      <c r="AB251" s="23"/>
    </row>
    <row r="252" spans="1:28" hidden="1" x14ac:dyDescent="0.2">
      <c r="A252" s="10"/>
      <c r="B252" s="23" t="s">
        <v>1033</v>
      </c>
      <c r="C252" s="13"/>
      <c r="D252" s="13"/>
      <c r="E252" s="11"/>
      <c r="H252" s="30"/>
      <c r="I252" s="197"/>
      <c r="J252" s="196">
        <f t="shared" si="8"/>
        <v>0</v>
      </c>
      <c r="K252" s="23"/>
      <c r="L252" s="23"/>
      <c r="M252" s="23"/>
      <c r="N252" s="23"/>
      <c r="O252" s="23"/>
      <c r="P252" s="23"/>
      <c r="Q252" s="23"/>
      <c r="R252" s="23"/>
      <c r="S252" s="23"/>
      <c r="T252" s="23"/>
      <c r="U252" s="23"/>
      <c r="V252" s="23"/>
      <c r="W252" s="23"/>
      <c r="X252" s="23"/>
      <c r="Y252" s="23"/>
      <c r="Z252" s="23"/>
      <c r="AA252" s="23"/>
      <c r="AB252" s="23"/>
    </row>
    <row r="253" spans="1:28" hidden="1" x14ac:dyDescent="0.2">
      <c r="A253" s="10"/>
      <c r="B253" s="13" t="s">
        <v>204</v>
      </c>
      <c r="C253" s="13"/>
      <c r="D253" s="13"/>
      <c r="E253" s="487"/>
      <c r="H253" s="30"/>
      <c r="I253" s="197"/>
      <c r="J253" s="196">
        <f>SUM(H253:I253)</f>
        <v>0</v>
      </c>
      <c r="K253" s="23"/>
      <c r="L253" s="23"/>
      <c r="M253" s="23"/>
      <c r="N253" s="23"/>
      <c r="O253" s="23"/>
      <c r="P253" s="23"/>
      <c r="Q253" s="23"/>
      <c r="R253" s="23"/>
      <c r="S253" s="23"/>
      <c r="T253" s="23"/>
      <c r="U253" s="23"/>
      <c r="V253" s="23"/>
      <c r="W253" s="23"/>
      <c r="X253" s="23"/>
      <c r="Y253" s="23"/>
      <c r="Z253" s="23"/>
      <c r="AA253" s="23"/>
      <c r="AB253" s="23"/>
    </row>
    <row r="254" spans="1:28" x14ac:dyDescent="0.2">
      <c r="A254" s="10"/>
      <c r="B254" s="13" t="s">
        <v>482</v>
      </c>
      <c r="C254" s="13"/>
      <c r="D254" s="13"/>
      <c r="E254" s="11"/>
      <c r="H254" s="30"/>
      <c r="I254" s="197"/>
      <c r="J254" s="196">
        <f t="shared" si="8"/>
        <v>0</v>
      </c>
      <c r="K254" s="23"/>
      <c r="L254" s="23"/>
      <c r="M254" s="23"/>
      <c r="N254" s="23"/>
      <c r="O254" s="23"/>
      <c r="P254" s="23"/>
      <c r="Q254" s="23"/>
      <c r="R254" s="23"/>
      <c r="S254" s="23"/>
      <c r="T254" s="23"/>
      <c r="U254" s="23"/>
      <c r="V254" s="23"/>
      <c r="W254" s="23"/>
      <c r="X254" s="23"/>
      <c r="Y254" s="23"/>
      <c r="Z254" s="23"/>
      <c r="AA254" s="23"/>
      <c r="AB254" s="23"/>
    </row>
    <row r="255" spans="1:28" x14ac:dyDescent="0.2">
      <c r="A255" s="23" t="s">
        <v>39</v>
      </c>
      <c r="B255" s="13"/>
      <c r="E255" s="11"/>
      <c r="H255" s="30"/>
      <c r="I255" s="197"/>
      <c r="J255" s="196">
        <f t="shared" si="8"/>
        <v>0</v>
      </c>
      <c r="K255" s="23"/>
      <c r="L255" s="23"/>
      <c r="M255" s="23"/>
      <c r="N255" s="23"/>
      <c r="O255" s="23"/>
      <c r="P255" s="23"/>
      <c r="Q255" s="23"/>
      <c r="R255" s="23"/>
      <c r="S255" s="23"/>
      <c r="T255" s="23"/>
      <c r="U255" s="23"/>
      <c r="V255" s="23"/>
      <c r="W255" s="23"/>
      <c r="X255" s="23"/>
      <c r="Y255" s="23"/>
      <c r="Z255" s="23"/>
      <c r="AA255" s="23"/>
      <c r="AB255" s="23"/>
    </row>
    <row r="256" spans="1:28" x14ac:dyDescent="0.2">
      <c r="A256" s="13" t="s">
        <v>38</v>
      </c>
      <c r="B256" s="13"/>
      <c r="E256" s="11"/>
      <c r="H256" s="196"/>
      <c r="I256" s="196"/>
      <c r="J256" s="196"/>
      <c r="K256" s="23"/>
      <c r="L256" s="23"/>
      <c r="M256" s="23"/>
      <c r="N256" s="23"/>
      <c r="O256" s="23"/>
      <c r="P256" s="23"/>
      <c r="Q256" s="23"/>
      <c r="R256" s="23"/>
      <c r="S256" s="23"/>
      <c r="T256" s="23"/>
      <c r="U256" s="23"/>
      <c r="V256" s="23"/>
      <c r="W256" s="23"/>
      <c r="X256" s="23"/>
      <c r="Y256" s="23"/>
      <c r="Z256" s="23"/>
      <c r="AA256" s="23"/>
      <c r="AB256" s="23"/>
    </row>
    <row r="257" spans="1:28" x14ac:dyDescent="0.2">
      <c r="A257" s="10"/>
      <c r="B257" s="13" t="s">
        <v>276</v>
      </c>
      <c r="E257" s="11"/>
      <c r="H257" s="30"/>
      <c r="I257" s="197"/>
      <c r="J257" s="196">
        <f t="shared" si="8"/>
        <v>0</v>
      </c>
      <c r="K257" s="23"/>
      <c r="L257" s="23"/>
      <c r="M257" s="23"/>
      <c r="N257" s="23"/>
      <c r="O257" s="23"/>
      <c r="P257" s="23"/>
      <c r="Q257" s="23"/>
      <c r="R257" s="23"/>
      <c r="S257" s="23"/>
      <c r="T257" s="23"/>
      <c r="U257" s="23"/>
      <c r="V257" s="23"/>
      <c r="W257" s="23"/>
      <c r="X257" s="23"/>
      <c r="Y257" s="23"/>
      <c r="Z257" s="23"/>
      <c r="AA257" s="23"/>
      <c r="AB257" s="23"/>
    </row>
    <row r="258" spans="1:28" x14ac:dyDescent="0.2">
      <c r="A258" s="10"/>
      <c r="B258" s="13" t="s">
        <v>277</v>
      </c>
      <c r="E258" s="11"/>
      <c r="H258" s="30"/>
      <c r="I258" s="197"/>
      <c r="J258" s="196">
        <f t="shared" si="8"/>
        <v>0</v>
      </c>
      <c r="K258" s="23"/>
      <c r="L258" s="23"/>
      <c r="M258" s="23"/>
      <c r="N258" s="23"/>
      <c r="O258" s="23"/>
      <c r="P258" s="23"/>
      <c r="Q258" s="23"/>
      <c r="R258" s="23"/>
      <c r="S258" s="23"/>
      <c r="T258" s="23"/>
      <c r="U258" s="23"/>
      <c r="V258" s="23"/>
      <c r="W258" s="23"/>
      <c r="X258" s="23"/>
      <c r="Y258" s="23"/>
      <c r="Z258" s="23"/>
      <c r="AA258" s="23"/>
      <c r="AB258" s="23"/>
    </row>
    <row r="259" spans="1:28" x14ac:dyDescent="0.2">
      <c r="A259" s="10"/>
      <c r="B259" s="13" t="s">
        <v>278</v>
      </c>
      <c r="E259" s="11"/>
      <c r="H259" s="30"/>
      <c r="I259" s="197"/>
      <c r="J259" s="196">
        <f>SUM(H259:I259)</f>
        <v>0</v>
      </c>
      <c r="K259" s="23"/>
      <c r="L259" s="23"/>
      <c r="M259" s="23"/>
      <c r="N259" s="23"/>
      <c r="O259" s="23"/>
      <c r="P259" s="23"/>
      <c r="Q259" s="23"/>
      <c r="R259" s="23"/>
      <c r="S259" s="23"/>
      <c r="T259" s="23"/>
      <c r="U259" s="23"/>
      <c r="V259" s="23"/>
      <c r="W259" s="23"/>
      <c r="X259" s="23"/>
      <c r="Y259" s="23"/>
      <c r="Z259" s="23"/>
      <c r="AA259" s="23"/>
      <c r="AB259" s="23"/>
    </row>
    <row r="260" spans="1:28" x14ac:dyDescent="0.2">
      <c r="A260" s="10"/>
      <c r="B260" s="13" t="s">
        <v>534</v>
      </c>
      <c r="E260" s="11"/>
      <c r="H260" s="30"/>
      <c r="I260" s="197"/>
      <c r="J260" s="196">
        <f>SUM(H260:I260)</f>
        <v>0</v>
      </c>
      <c r="K260" s="23"/>
      <c r="L260" s="23"/>
      <c r="M260" s="23"/>
      <c r="N260" s="23"/>
      <c r="O260" s="23"/>
      <c r="P260" s="23"/>
      <c r="Q260" s="23"/>
      <c r="R260" s="23"/>
      <c r="S260" s="23"/>
      <c r="T260" s="23"/>
      <c r="U260" s="23"/>
      <c r="V260" s="23"/>
      <c r="W260" s="23"/>
      <c r="X260" s="23"/>
      <c r="Y260" s="23"/>
      <c r="Z260" s="23"/>
      <c r="AA260" s="23"/>
      <c r="AB260" s="23"/>
    </row>
    <row r="261" spans="1:28" x14ac:dyDescent="0.2">
      <c r="A261" s="10"/>
      <c r="B261" s="13"/>
      <c r="E261" s="11"/>
      <c r="H261" s="196"/>
      <c r="I261" s="196"/>
      <c r="J261" s="196"/>
      <c r="K261" s="23"/>
      <c r="L261" s="23"/>
      <c r="M261" s="23"/>
      <c r="N261" s="23"/>
      <c r="O261" s="23"/>
      <c r="P261" s="23"/>
      <c r="Q261" s="23"/>
      <c r="R261" s="23"/>
      <c r="S261" s="23"/>
      <c r="T261" s="23"/>
      <c r="U261" s="23"/>
      <c r="V261" s="23"/>
      <c r="W261" s="23"/>
      <c r="X261" s="23"/>
      <c r="Y261" s="23"/>
      <c r="Z261" s="23"/>
      <c r="AA261" s="23"/>
      <c r="AB261" s="23"/>
    </row>
    <row r="262" spans="1:28" x14ac:dyDescent="0.2">
      <c r="A262" s="24" t="s">
        <v>536</v>
      </c>
      <c r="B262" s="13"/>
      <c r="E262" s="401"/>
      <c r="H262" s="30"/>
      <c r="I262" s="30"/>
      <c r="J262" s="196">
        <f t="shared" ref="J262:J267" si="9">SUM(H262:I262)</f>
        <v>0</v>
      </c>
      <c r="K262" s="23"/>
      <c r="L262" s="23"/>
      <c r="M262" s="23"/>
      <c r="N262" s="23"/>
      <c r="O262" s="23"/>
      <c r="P262" s="23"/>
      <c r="Q262" s="23"/>
      <c r="R262" s="23"/>
      <c r="S262" s="23"/>
      <c r="T262" s="23"/>
      <c r="U262" s="23"/>
      <c r="V262" s="23"/>
      <c r="W262" s="23"/>
      <c r="X262" s="23"/>
      <c r="Y262" s="23"/>
      <c r="Z262" s="23"/>
      <c r="AA262" s="23"/>
      <c r="AB262" s="23"/>
    </row>
    <row r="263" spans="1:28" x14ac:dyDescent="0.2">
      <c r="A263" s="24" t="s">
        <v>537</v>
      </c>
      <c r="B263" s="18"/>
      <c r="E263" s="11"/>
      <c r="H263" s="30"/>
      <c r="I263" s="30"/>
      <c r="J263" s="196">
        <f t="shared" si="9"/>
        <v>0</v>
      </c>
      <c r="K263" s="23"/>
      <c r="L263" s="23"/>
      <c r="M263" s="23"/>
      <c r="N263" s="23"/>
      <c r="O263" s="23"/>
      <c r="P263" s="23"/>
      <c r="Q263" s="23"/>
      <c r="R263" s="23"/>
      <c r="S263" s="23"/>
      <c r="T263" s="23"/>
      <c r="U263" s="23"/>
      <c r="V263" s="23"/>
      <c r="W263" s="23"/>
      <c r="X263" s="23"/>
      <c r="Y263" s="23"/>
      <c r="Z263" s="23"/>
      <c r="AA263" s="23"/>
      <c r="AB263" s="23"/>
    </row>
    <row r="264" spans="1:28" x14ac:dyDescent="0.2">
      <c r="A264" s="24" t="s">
        <v>1716</v>
      </c>
      <c r="B264" s="18"/>
      <c r="E264" s="11"/>
      <c r="H264" s="30"/>
      <c r="I264" s="197"/>
      <c r="J264" s="196">
        <f>SUM(H264:I264)</f>
        <v>0</v>
      </c>
      <c r="K264" s="23"/>
      <c r="L264" s="23"/>
      <c r="M264" s="23"/>
      <c r="N264" s="23"/>
      <c r="O264" s="23"/>
      <c r="P264" s="23"/>
      <c r="Q264" s="23"/>
      <c r="R264" s="23"/>
      <c r="S264" s="23"/>
      <c r="T264" s="23"/>
      <c r="U264" s="23"/>
      <c r="V264" s="23"/>
      <c r="W264" s="23"/>
      <c r="X264" s="23"/>
      <c r="Y264" s="23"/>
      <c r="Z264" s="23"/>
      <c r="AA264" s="23"/>
      <c r="AB264" s="23"/>
    </row>
    <row r="265" spans="1:28" x14ac:dyDescent="0.2">
      <c r="A265" s="24" t="s">
        <v>538</v>
      </c>
      <c r="B265" s="18"/>
      <c r="E265" s="11"/>
      <c r="H265" s="30"/>
      <c r="I265" s="30"/>
      <c r="J265" s="196">
        <f t="shared" si="9"/>
        <v>0</v>
      </c>
      <c r="K265" s="23"/>
      <c r="L265" s="23"/>
      <c r="M265" s="23"/>
      <c r="N265" s="23"/>
      <c r="O265" s="23"/>
      <c r="P265" s="23"/>
      <c r="Q265" s="23"/>
      <c r="R265" s="23"/>
      <c r="S265" s="23"/>
      <c r="T265" s="23"/>
      <c r="U265" s="23"/>
      <c r="V265" s="23"/>
      <c r="W265" s="23"/>
      <c r="X265" s="23"/>
      <c r="Y265" s="23"/>
      <c r="Z265" s="23"/>
      <c r="AA265" s="23"/>
      <c r="AB265" s="23"/>
    </row>
    <row r="266" spans="1:28" x14ac:dyDescent="0.2">
      <c r="A266" s="13" t="s">
        <v>539</v>
      </c>
      <c r="B266" s="18"/>
      <c r="E266" s="5"/>
      <c r="H266" s="30"/>
      <c r="I266" s="30"/>
      <c r="J266" s="196">
        <f t="shared" si="9"/>
        <v>0</v>
      </c>
      <c r="K266" s="23"/>
      <c r="L266" s="23"/>
      <c r="M266" s="23"/>
      <c r="N266" s="23"/>
      <c r="O266" s="23"/>
      <c r="P266" s="23"/>
      <c r="Q266" s="23"/>
      <c r="R266" s="23"/>
      <c r="S266" s="23"/>
      <c r="T266" s="23"/>
      <c r="U266" s="23"/>
      <c r="V266" s="23"/>
      <c r="W266" s="23"/>
      <c r="X266" s="23"/>
      <c r="Y266" s="23"/>
      <c r="Z266" s="23"/>
      <c r="AA266" s="23"/>
      <c r="AB266" s="23"/>
    </row>
    <row r="267" spans="1:28" x14ac:dyDescent="0.2">
      <c r="A267" s="24" t="s">
        <v>1372</v>
      </c>
      <c r="B267" s="18"/>
      <c r="E267" s="401"/>
      <c r="H267" s="30"/>
      <c r="I267" s="30"/>
      <c r="J267" s="196">
        <f t="shared" si="9"/>
        <v>0</v>
      </c>
      <c r="K267" s="23"/>
      <c r="L267" s="23"/>
      <c r="M267" s="23"/>
      <c r="N267" s="23"/>
      <c r="O267" s="23"/>
      <c r="P267" s="23"/>
      <c r="Q267" s="23"/>
      <c r="R267" s="23"/>
      <c r="S267" s="23"/>
      <c r="T267" s="23"/>
      <c r="U267" s="23"/>
      <c r="V267" s="23"/>
      <c r="W267" s="23"/>
      <c r="X267" s="23"/>
      <c r="Y267" s="23"/>
      <c r="Z267" s="23"/>
      <c r="AA267" s="23"/>
      <c r="AB267" s="23"/>
    </row>
    <row r="268" spans="1:28" ht="12" customHeight="1" x14ac:dyDescent="0.2">
      <c r="A268" s="24"/>
      <c r="B268" s="18"/>
      <c r="E268" s="11"/>
      <c r="H268" s="2"/>
      <c r="I268" s="2"/>
      <c r="J268" s="2"/>
      <c r="K268" s="23"/>
      <c r="L268" s="23"/>
      <c r="M268" s="23"/>
      <c r="N268" s="23"/>
      <c r="O268" s="23"/>
      <c r="P268" s="23"/>
      <c r="Q268" s="23"/>
      <c r="R268" s="23"/>
      <c r="S268" s="23"/>
      <c r="T268" s="23"/>
      <c r="U268" s="23"/>
      <c r="V268" s="23"/>
      <c r="W268" s="23"/>
      <c r="X268" s="23"/>
      <c r="Y268" s="23"/>
      <c r="Z268" s="23"/>
      <c r="AA268" s="23"/>
      <c r="AB268" s="23"/>
    </row>
    <row r="269" spans="1:28" ht="12" customHeight="1" x14ac:dyDescent="0.2">
      <c r="A269" s="13"/>
      <c r="B269" s="18"/>
      <c r="E269" s="11"/>
      <c r="H269" s="196"/>
      <c r="I269" s="196"/>
      <c r="J269" s="196"/>
      <c r="K269" s="23"/>
      <c r="L269" s="23"/>
      <c r="M269" s="23"/>
      <c r="N269" s="23"/>
      <c r="O269" s="23"/>
      <c r="P269" s="23"/>
      <c r="Q269" s="23"/>
      <c r="R269" s="23"/>
      <c r="S269" s="23"/>
      <c r="T269" s="23"/>
      <c r="U269" s="23"/>
      <c r="V269" s="23"/>
      <c r="W269" s="23"/>
      <c r="X269" s="23"/>
      <c r="Y269" s="23"/>
      <c r="Z269" s="23"/>
      <c r="AA269" s="23"/>
      <c r="AB269" s="23"/>
    </row>
    <row r="270" spans="1:28" x14ac:dyDescent="0.2">
      <c r="A270" s="24"/>
      <c r="B270" s="18"/>
      <c r="E270" s="11"/>
      <c r="H270" s="27"/>
      <c r="I270" s="27"/>
      <c r="J270" s="27"/>
      <c r="K270" s="23"/>
      <c r="L270" s="23"/>
      <c r="M270" s="23"/>
      <c r="N270" s="23"/>
      <c r="O270" s="23"/>
      <c r="P270" s="23"/>
      <c r="Q270" s="23"/>
      <c r="R270" s="23"/>
      <c r="S270" s="23"/>
      <c r="T270" s="23"/>
      <c r="U270" s="23"/>
      <c r="V270" s="23"/>
      <c r="W270" s="23"/>
      <c r="X270" s="23"/>
      <c r="Y270" s="23"/>
      <c r="Z270" s="23"/>
      <c r="AA270" s="23"/>
      <c r="AB270" s="23"/>
    </row>
    <row r="271" spans="1:28" x14ac:dyDescent="0.2">
      <c r="A271" s="13" t="s">
        <v>124</v>
      </c>
      <c r="B271" s="18"/>
      <c r="E271" s="7" t="s">
        <v>220</v>
      </c>
      <c r="G271" s="7" t="s">
        <v>220</v>
      </c>
      <c r="H271" s="197"/>
      <c r="I271" s="30"/>
      <c r="J271" s="27">
        <f>SUM(H271:I271)</f>
        <v>0</v>
      </c>
      <c r="K271" s="23"/>
      <c r="L271" s="23"/>
      <c r="M271" s="23"/>
      <c r="N271" s="23"/>
      <c r="O271" s="23"/>
      <c r="P271" s="23"/>
      <c r="Q271" s="23"/>
      <c r="R271" s="23"/>
      <c r="S271" s="23"/>
      <c r="T271" s="23"/>
      <c r="U271" s="23"/>
      <c r="V271" s="23"/>
      <c r="W271" s="23"/>
      <c r="X271" s="23"/>
      <c r="Y271" s="23"/>
      <c r="Z271" s="23"/>
      <c r="AA271" s="23"/>
      <c r="AB271" s="23"/>
    </row>
    <row r="272" spans="1:28" x14ac:dyDescent="0.2">
      <c r="A272" s="13" t="s">
        <v>125</v>
      </c>
      <c r="B272" s="18"/>
      <c r="E272" s="7" t="s">
        <v>220</v>
      </c>
      <c r="G272" s="7" t="s">
        <v>220</v>
      </c>
      <c r="H272" s="30"/>
      <c r="I272" s="30"/>
      <c r="J272" s="27">
        <f>SUM(H272:I272)</f>
        <v>0</v>
      </c>
      <c r="K272" s="23"/>
      <c r="L272" s="23"/>
      <c r="M272" s="23"/>
      <c r="N272" s="23"/>
      <c r="O272" s="23"/>
      <c r="P272" s="23"/>
      <c r="Q272" s="23"/>
      <c r="R272" s="23"/>
      <c r="S272" s="23"/>
      <c r="T272" s="23"/>
      <c r="U272" s="23"/>
      <c r="V272" s="23"/>
      <c r="W272" s="23"/>
      <c r="X272" s="23"/>
      <c r="Y272" s="23"/>
      <c r="Z272" s="23"/>
      <c r="AA272" s="23"/>
      <c r="AB272" s="23"/>
    </row>
    <row r="273" spans="1:28" x14ac:dyDescent="0.2">
      <c r="A273" s="13" t="s">
        <v>126</v>
      </c>
      <c r="B273" s="18"/>
      <c r="E273" s="7" t="s">
        <v>220</v>
      </c>
      <c r="G273" s="7" t="s">
        <v>220</v>
      </c>
      <c r="H273" s="197"/>
      <c r="I273" s="30"/>
      <c r="J273" s="27">
        <f>SUM(H273:I273)</f>
        <v>0</v>
      </c>
      <c r="K273" s="23"/>
      <c r="L273" s="23"/>
      <c r="M273" s="23"/>
      <c r="N273" s="23"/>
      <c r="O273" s="23"/>
      <c r="P273" s="23"/>
      <c r="Q273" s="23"/>
      <c r="R273" s="23"/>
      <c r="S273" s="23"/>
      <c r="T273" s="23"/>
      <c r="U273" s="23"/>
      <c r="V273" s="23"/>
      <c r="W273" s="23"/>
      <c r="X273" s="23"/>
      <c r="Y273" s="23"/>
      <c r="Z273" s="23"/>
      <c r="AA273" s="23"/>
      <c r="AB273" s="23"/>
    </row>
    <row r="274" spans="1:28" x14ac:dyDescent="0.2">
      <c r="A274" s="13" t="s">
        <v>519</v>
      </c>
      <c r="B274" s="18"/>
      <c r="E274" s="7" t="s">
        <v>220</v>
      </c>
      <c r="G274" s="7" t="s">
        <v>220</v>
      </c>
      <c r="H274" s="30"/>
      <c r="I274" s="30"/>
      <c r="J274" s="27">
        <f>SUM(H274:I274)</f>
        <v>0</v>
      </c>
      <c r="K274" s="23"/>
      <c r="L274" s="23"/>
      <c r="M274" s="23"/>
      <c r="N274" s="23"/>
      <c r="O274" s="23"/>
      <c r="P274" s="23"/>
      <c r="Q274" s="23"/>
      <c r="R274" s="23"/>
      <c r="S274" s="23"/>
      <c r="T274" s="23"/>
      <c r="U274" s="23"/>
      <c r="V274" s="23"/>
      <c r="W274" s="23"/>
      <c r="X274" s="23"/>
      <c r="Y274" s="23"/>
      <c r="Z274" s="23"/>
      <c r="AA274" s="23"/>
      <c r="AB274" s="23"/>
    </row>
    <row r="275" spans="1:28" x14ac:dyDescent="0.2">
      <c r="A275" s="13"/>
      <c r="B275" s="18"/>
      <c r="E275" s="11"/>
      <c r="H275" s="196"/>
      <c r="I275" s="196"/>
      <c r="J275" s="27"/>
      <c r="K275" s="23"/>
      <c r="L275" s="23"/>
      <c r="M275" s="23"/>
      <c r="N275" s="23"/>
      <c r="O275" s="23"/>
      <c r="P275" s="23"/>
      <c r="Q275" s="23"/>
      <c r="R275" s="23"/>
      <c r="S275" s="23"/>
      <c r="T275" s="23"/>
      <c r="U275" s="23"/>
      <c r="V275" s="23"/>
      <c r="W275" s="23"/>
      <c r="X275" s="23"/>
      <c r="Y275" s="23"/>
      <c r="Z275" s="23"/>
      <c r="AA275" s="23"/>
      <c r="AB275" s="23"/>
    </row>
    <row r="276" spans="1:28" hidden="1" x14ac:dyDescent="0.2">
      <c r="A276" s="13" t="s">
        <v>67</v>
      </c>
      <c r="B276" s="18"/>
      <c r="E276" s="5"/>
      <c r="H276" s="197"/>
      <c r="I276" s="197"/>
      <c r="J276" s="27">
        <f>SUM(H276:I276)</f>
        <v>0</v>
      </c>
      <c r="K276" s="23"/>
      <c r="L276" s="23"/>
      <c r="M276" s="23"/>
      <c r="N276" s="23"/>
      <c r="O276" s="23"/>
      <c r="P276" s="23"/>
      <c r="Q276" s="23"/>
      <c r="R276" s="23"/>
      <c r="S276" s="23"/>
      <c r="T276" s="23"/>
      <c r="U276" s="23"/>
      <c r="V276" s="23"/>
      <c r="W276" s="23"/>
      <c r="X276" s="23"/>
      <c r="Y276" s="23"/>
      <c r="Z276" s="23"/>
      <c r="AA276" s="23"/>
      <c r="AB276" s="23"/>
    </row>
    <row r="277" spans="1:28" hidden="1" x14ac:dyDescent="0.2">
      <c r="A277" s="13" t="s">
        <v>743</v>
      </c>
      <c r="B277" s="18"/>
      <c r="E277" s="5"/>
      <c r="H277" s="197"/>
      <c r="I277" s="197"/>
      <c r="J277" s="27">
        <f>SUM(H277:I277)</f>
        <v>0</v>
      </c>
      <c r="K277" s="23"/>
      <c r="L277" s="23"/>
      <c r="M277" s="23"/>
      <c r="N277" s="23"/>
      <c r="O277" s="23"/>
      <c r="P277" s="23"/>
      <c r="Q277" s="23"/>
      <c r="R277" s="23"/>
      <c r="S277" s="23"/>
      <c r="T277" s="23"/>
      <c r="U277" s="23"/>
      <c r="V277" s="23"/>
      <c r="W277" s="23"/>
      <c r="X277" s="23"/>
      <c r="Y277" s="23"/>
      <c r="Z277" s="23"/>
      <c r="AA277" s="23"/>
      <c r="AB277" s="23"/>
    </row>
    <row r="278" spans="1:28" x14ac:dyDescent="0.2">
      <c r="A278" s="13"/>
      <c r="B278" s="18"/>
      <c r="E278" s="11"/>
      <c r="H278" s="196"/>
      <c r="I278" s="196"/>
      <c r="J278" s="27"/>
      <c r="K278" s="23"/>
      <c r="L278" s="23"/>
      <c r="M278" s="23"/>
      <c r="N278" s="23"/>
      <c r="O278" s="23"/>
      <c r="P278" s="23"/>
      <c r="Q278" s="23"/>
      <c r="R278" s="23"/>
      <c r="S278" s="23"/>
      <c r="T278" s="23"/>
      <c r="U278" s="23"/>
      <c r="V278" s="23"/>
      <c r="W278" s="23"/>
      <c r="X278" s="23"/>
      <c r="Y278" s="23"/>
      <c r="Z278" s="23"/>
      <c r="AA278" s="23"/>
      <c r="AB278" s="23"/>
    </row>
    <row r="279" spans="1:28" x14ac:dyDescent="0.2">
      <c r="A279" s="24" t="s">
        <v>382</v>
      </c>
      <c r="B279" s="18"/>
      <c r="E279" s="401"/>
      <c r="H279" s="30"/>
      <c r="I279" s="30"/>
      <c r="J279" s="27">
        <f>SUM(H279:I279)</f>
        <v>0</v>
      </c>
      <c r="K279" s="23"/>
      <c r="L279" s="23"/>
      <c r="M279" s="23"/>
      <c r="N279" s="23"/>
      <c r="O279" s="23"/>
      <c r="P279" s="23"/>
      <c r="Q279" s="23"/>
      <c r="R279" s="23"/>
      <c r="S279" s="23"/>
      <c r="T279" s="23"/>
      <c r="U279" s="23"/>
      <c r="V279" s="23"/>
      <c r="W279" s="23"/>
      <c r="X279" s="23"/>
      <c r="Y279" s="23"/>
      <c r="Z279" s="23"/>
      <c r="AA279" s="23"/>
      <c r="AB279" s="23"/>
    </row>
    <row r="280" spans="1:28" x14ac:dyDescent="0.2">
      <c r="A280" s="24" t="s">
        <v>383</v>
      </c>
      <c r="B280" s="18"/>
      <c r="E280" s="401"/>
      <c r="H280" s="399"/>
      <c r="I280" s="30"/>
      <c r="J280" s="27">
        <f>SUM(H280:I280)</f>
        <v>0</v>
      </c>
      <c r="K280" s="23"/>
      <c r="L280" s="23"/>
      <c r="M280" s="23"/>
      <c r="N280" s="23"/>
      <c r="O280" s="23"/>
      <c r="P280" s="23"/>
      <c r="Q280" s="23"/>
      <c r="R280" s="23"/>
      <c r="S280" s="23"/>
      <c r="T280" s="23"/>
      <c r="U280" s="23"/>
      <c r="V280" s="23"/>
      <c r="W280" s="23"/>
      <c r="X280" s="23"/>
      <c r="Y280" s="23"/>
      <c r="Z280" s="23"/>
      <c r="AA280" s="23"/>
      <c r="AB280" s="23"/>
    </row>
    <row r="281" spans="1:28" x14ac:dyDescent="0.2">
      <c r="A281" s="13" t="s">
        <v>632</v>
      </c>
      <c r="B281" s="13"/>
      <c r="E281" s="11"/>
      <c r="H281" s="26">
        <f>SUM(H249:H280)</f>
        <v>0</v>
      </c>
      <c r="I281" s="26">
        <f>SUM(I249:I280)</f>
        <v>0</v>
      </c>
      <c r="J281" s="26">
        <f>SUM(J249:J280)</f>
        <v>0</v>
      </c>
      <c r="K281" s="23"/>
      <c r="L281" s="23"/>
      <c r="M281" s="23"/>
      <c r="N281" s="23"/>
      <c r="O281" s="23"/>
      <c r="P281" s="23"/>
      <c r="Q281" s="23"/>
      <c r="R281" s="23"/>
      <c r="S281" s="23"/>
      <c r="T281" s="23"/>
      <c r="U281" s="23"/>
      <c r="V281" s="23"/>
      <c r="W281" s="23"/>
      <c r="X281" s="23"/>
      <c r="Y281" s="23"/>
      <c r="Z281" s="23"/>
      <c r="AA281" s="23"/>
      <c r="AB281" s="23"/>
    </row>
    <row r="282" spans="1:28" x14ac:dyDescent="0.2">
      <c r="A282" s="24" t="s">
        <v>863</v>
      </c>
      <c r="B282" s="13"/>
      <c r="E282" s="11"/>
      <c r="H282" s="26">
        <f>SUM(H244,H281)</f>
        <v>0</v>
      </c>
      <c r="I282" s="26">
        <f>SUM(I244,I281)</f>
        <v>0</v>
      </c>
      <c r="J282" s="26">
        <f>SUM(J244,J281)</f>
        <v>0</v>
      </c>
      <c r="K282" s="23"/>
      <c r="L282" s="23"/>
      <c r="M282" s="23"/>
      <c r="N282" s="23"/>
      <c r="O282" s="23"/>
      <c r="P282" s="23"/>
      <c r="Q282" s="23"/>
      <c r="R282" s="23"/>
      <c r="S282" s="23"/>
      <c r="T282" s="23"/>
      <c r="U282" s="23"/>
      <c r="V282" s="23"/>
      <c r="W282" s="23"/>
      <c r="X282" s="23"/>
      <c r="Y282" s="23"/>
      <c r="Z282" s="23"/>
      <c r="AA282" s="23"/>
      <c r="AB282" s="23"/>
    </row>
    <row r="283" spans="1:28" x14ac:dyDescent="0.2">
      <c r="A283" s="24" t="s">
        <v>858</v>
      </c>
      <c r="B283" s="10"/>
      <c r="E283" s="11"/>
      <c r="H283" s="30"/>
      <c r="I283" s="30"/>
      <c r="J283" s="27">
        <f>SUM(H283:I283)</f>
        <v>0</v>
      </c>
      <c r="K283" s="23"/>
      <c r="L283" s="23"/>
      <c r="M283" s="23"/>
      <c r="N283" s="23"/>
      <c r="O283" s="23"/>
      <c r="P283" s="23"/>
      <c r="Q283" s="23"/>
      <c r="R283" s="23"/>
      <c r="S283" s="23"/>
      <c r="T283" s="23"/>
      <c r="U283" s="23"/>
      <c r="V283" s="23"/>
      <c r="W283" s="23"/>
      <c r="X283" s="23"/>
      <c r="Y283" s="23"/>
      <c r="Z283" s="23"/>
      <c r="AA283" s="23"/>
      <c r="AB283" s="23"/>
    </row>
    <row r="284" spans="1:28" ht="12.75" thickBot="1" x14ac:dyDescent="0.25">
      <c r="A284" s="24" t="s">
        <v>859</v>
      </c>
      <c r="B284" s="10"/>
      <c r="E284" s="11"/>
      <c r="H284" s="28">
        <f>SUM(H282:H283)</f>
        <v>0</v>
      </c>
      <c r="I284" s="28">
        <f>SUM(I282:I283)</f>
        <v>0</v>
      </c>
      <c r="J284" s="28">
        <f>IF(SUM(J282:J283)=J226,SUM(J282,J283),"ERROR")</f>
        <v>0</v>
      </c>
      <c r="K284" s="23"/>
      <c r="L284" s="23"/>
      <c r="M284" s="23"/>
      <c r="N284" s="23"/>
      <c r="O284" s="23"/>
      <c r="P284" s="23"/>
      <c r="Q284" s="23"/>
      <c r="R284" s="23"/>
      <c r="S284" s="23"/>
      <c r="T284" s="23"/>
      <c r="U284" s="23"/>
      <c r="V284" s="23"/>
      <c r="W284" s="23"/>
      <c r="X284" s="23"/>
      <c r="Y284" s="23"/>
      <c r="Z284" s="23"/>
      <c r="AA284" s="23"/>
      <c r="AB284" s="23"/>
    </row>
    <row r="285" spans="1:28" ht="3.75" customHeight="1" thickTop="1" x14ac:dyDescent="0.2">
      <c r="E285" s="11"/>
      <c r="J285" s="275"/>
      <c r="K285" s="23"/>
      <c r="L285" s="23"/>
      <c r="M285" s="23"/>
      <c r="N285" s="23"/>
      <c r="O285" s="23"/>
      <c r="P285" s="23"/>
      <c r="Q285" s="23"/>
      <c r="R285" s="23"/>
      <c r="S285" s="23"/>
      <c r="T285" s="23"/>
      <c r="U285" s="23"/>
      <c r="V285" s="23"/>
      <c r="W285" s="23"/>
      <c r="X285" s="23"/>
      <c r="Y285" s="23"/>
      <c r="Z285" s="23"/>
      <c r="AA285" s="23"/>
      <c r="AB285" s="23"/>
    </row>
    <row r="286" spans="1:28" ht="3.75" customHeight="1" x14ac:dyDescent="0.2">
      <c r="A286" s="1196"/>
      <c r="B286" s="1196"/>
      <c r="C286" s="1196"/>
      <c r="D286" s="1196"/>
      <c r="E286" s="1162"/>
      <c r="H286" s="1220"/>
      <c r="I286" s="1221"/>
      <c r="J286" s="1221"/>
      <c r="K286" s="23"/>
      <c r="L286" s="23"/>
      <c r="M286" s="23"/>
      <c r="N286" s="23"/>
      <c r="O286" s="23"/>
      <c r="P286" s="23"/>
      <c r="Q286" s="23"/>
      <c r="R286" s="23"/>
      <c r="S286" s="23"/>
      <c r="T286" s="23"/>
      <c r="U286" s="23"/>
      <c r="V286" s="23"/>
      <c r="W286" s="23"/>
      <c r="X286" s="23"/>
      <c r="Y286" s="23"/>
      <c r="Z286" s="23"/>
      <c r="AA286" s="23"/>
      <c r="AB286" s="23"/>
    </row>
    <row r="287" spans="1:28" ht="3.75" customHeight="1" x14ac:dyDescent="0.2">
      <c r="E287" s="11"/>
      <c r="K287" s="23"/>
      <c r="L287" s="23"/>
      <c r="M287" s="23"/>
      <c r="N287" s="23"/>
      <c r="O287" s="23"/>
      <c r="P287" s="23"/>
      <c r="Q287" s="23"/>
      <c r="R287" s="23"/>
      <c r="S287" s="23"/>
      <c r="T287" s="23"/>
      <c r="U287" s="23"/>
      <c r="V287" s="23"/>
      <c r="W287" s="23"/>
      <c r="X287" s="23"/>
      <c r="Y287" s="23"/>
      <c r="Z287" s="23"/>
      <c r="AA287" s="23"/>
      <c r="AB287" s="23"/>
    </row>
    <row r="288" spans="1:28" ht="12.75" x14ac:dyDescent="0.2">
      <c r="E288"/>
      <c r="G288" s="409" t="s">
        <v>861</v>
      </c>
      <c r="H288" s="415">
        <f>SUM(H282:H283)</f>
        <v>0</v>
      </c>
      <c r="I288" s="415">
        <f>SUM(I282:I283)</f>
        <v>0</v>
      </c>
      <c r="J288" s="415">
        <f>SUM(J282:J283)</f>
        <v>0</v>
      </c>
      <c r="K288" s="23"/>
      <c r="L288" s="23"/>
      <c r="M288" s="23"/>
      <c r="N288" s="23"/>
      <c r="O288" s="23"/>
      <c r="P288" s="23"/>
      <c r="Q288" s="23"/>
      <c r="R288" s="23"/>
      <c r="S288" s="23"/>
      <c r="T288" s="23"/>
      <c r="U288" s="23"/>
      <c r="V288" s="23"/>
      <c r="W288" s="23"/>
      <c r="X288" s="23"/>
      <c r="Y288" s="23"/>
      <c r="Z288" s="23"/>
      <c r="AA288" s="23"/>
      <c r="AB288" s="23"/>
    </row>
    <row r="289" spans="5:28" x14ac:dyDescent="0.2">
      <c r="E289" s="11"/>
      <c r="G289" s="409" t="s">
        <v>549</v>
      </c>
      <c r="H289" s="411">
        <f>H228-H288</f>
        <v>0</v>
      </c>
      <c r="I289" s="411">
        <f>I228-I288</f>
        <v>0</v>
      </c>
      <c r="J289" s="411">
        <f>J228-J288</f>
        <v>0</v>
      </c>
      <c r="K289" s="23"/>
      <c r="L289" s="23"/>
      <c r="M289" s="23"/>
      <c r="N289" s="23"/>
      <c r="O289" s="23"/>
      <c r="P289" s="23"/>
      <c r="Q289" s="23"/>
      <c r="R289" s="23"/>
      <c r="S289" s="23"/>
      <c r="T289" s="23"/>
      <c r="U289" s="23"/>
      <c r="V289" s="23"/>
      <c r="W289" s="23"/>
      <c r="X289" s="23"/>
      <c r="Y289" s="23"/>
      <c r="Z289" s="23"/>
      <c r="AA289" s="23"/>
      <c r="AB289" s="23"/>
    </row>
    <row r="290" spans="5:28" x14ac:dyDescent="0.2">
      <c r="E290" s="11"/>
      <c r="K290" s="23"/>
      <c r="L290" s="23"/>
      <c r="M290" s="23"/>
      <c r="N290" s="23"/>
      <c r="O290" s="23"/>
      <c r="P290" s="23"/>
      <c r="Q290" s="23"/>
      <c r="R290" s="23"/>
      <c r="S290" s="23"/>
      <c r="T290" s="23"/>
      <c r="U290" s="23"/>
      <c r="V290" s="23"/>
      <c r="W290" s="23"/>
      <c r="X290" s="23"/>
      <c r="Y290" s="23"/>
      <c r="Z290" s="23"/>
      <c r="AA290" s="23"/>
      <c r="AB290" s="23"/>
    </row>
    <row r="291" spans="5:28" x14ac:dyDescent="0.2">
      <c r="E291" s="11"/>
      <c r="K291" s="23"/>
      <c r="L291" s="23"/>
      <c r="M291" s="23"/>
      <c r="N291" s="23"/>
      <c r="O291" s="23"/>
      <c r="P291" s="23"/>
      <c r="Q291" s="23"/>
      <c r="R291" s="23"/>
      <c r="S291" s="23"/>
      <c r="T291" s="23"/>
      <c r="U291" s="23"/>
      <c r="V291" s="23"/>
      <c r="W291" s="23"/>
      <c r="X291" s="23"/>
      <c r="Y291" s="23"/>
      <c r="Z291" s="23"/>
      <c r="AA291" s="23"/>
      <c r="AB291" s="23"/>
    </row>
    <row r="292" spans="5:28" x14ac:dyDescent="0.2">
      <c r="E292" s="11"/>
      <c r="K292" s="23"/>
      <c r="L292" s="23"/>
      <c r="M292" s="23"/>
      <c r="N292" s="23"/>
      <c r="O292" s="23"/>
      <c r="P292" s="23"/>
      <c r="Q292" s="23"/>
      <c r="R292" s="23"/>
      <c r="S292" s="23"/>
      <c r="T292" s="23"/>
      <c r="U292" s="23"/>
      <c r="V292" s="23"/>
      <c r="W292" s="23"/>
      <c r="X292" s="23"/>
      <c r="Y292" s="23"/>
      <c r="Z292" s="23"/>
      <c r="AA292" s="23"/>
      <c r="AB292" s="23"/>
    </row>
    <row r="293" spans="5:28" x14ac:dyDescent="0.2">
      <c r="E293" s="11"/>
      <c r="K293" s="23"/>
      <c r="L293" s="23"/>
      <c r="M293" s="23"/>
      <c r="N293" s="23"/>
      <c r="O293" s="23"/>
      <c r="P293" s="23"/>
      <c r="Q293" s="23"/>
      <c r="R293" s="23"/>
      <c r="S293" s="23"/>
      <c r="T293" s="23"/>
      <c r="U293" s="23"/>
      <c r="V293" s="23"/>
      <c r="W293" s="23"/>
      <c r="X293" s="23"/>
      <c r="Y293" s="23"/>
      <c r="Z293" s="23"/>
      <c r="AA293" s="23"/>
      <c r="AB293" s="23"/>
    </row>
    <row r="294" spans="5:28" ht="3" customHeight="1" x14ac:dyDescent="0.2">
      <c r="E294" s="11"/>
      <c r="K294" s="23"/>
      <c r="L294" s="23"/>
      <c r="M294" s="23"/>
      <c r="N294" s="23"/>
      <c r="O294" s="23"/>
      <c r="P294" s="23"/>
      <c r="Q294" s="23"/>
      <c r="R294" s="23"/>
      <c r="S294" s="23"/>
      <c r="T294" s="23"/>
      <c r="U294" s="23"/>
      <c r="V294" s="23"/>
      <c r="W294" s="23"/>
      <c r="X294" s="23"/>
      <c r="Y294" s="23"/>
      <c r="Z294" s="23"/>
      <c r="AA294" s="23"/>
      <c r="AB294" s="23"/>
    </row>
    <row r="295" spans="5:28" ht="3" customHeight="1" x14ac:dyDescent="0.2">
      <c r="E295" s="11"/>
      <c r="K295" s="23"/>
      <c r="L295" s="23"/>
      <c r="M295" s="23"/>
      <c r="N295" s="23"/>
      <c r="O295" s="23"/>
      <c r="P295" s="23"/>
      <c r="Q295" s="23"/>
      <c r="R295" s="23"/>
      <c r="S295" s="23"/>
      <c r="T295" s="23"/>
      <c r="U295" s="23"/>
      <c r="V295" s="23"/>
      <c r="W295" s="23"/>
      <c r="X295" s="23"/>
      <c r="Y295" s="23"/>
      <c r="Z295" s="23"/>
      <c r="AA295" s="23"/>
      <c r="AB295" s="23"/>
    </row>
    <row r="296" spans="5:28" ht="5.25" customHeight="1" x14ac:dyDescent="0.2">
      <c r="E296" s="11"/>
      <c r="K296" s="23"/>
      <c r="L296" s="23"/>
      <c r="M296" s="23"/>
      <c r="N296" s="23"/>
      <c r="O296" s="23"/>
      <c r="P296" s="23"/>
      <c r="Q296" s="23"/>
      <c r="R296" s="23"/>
      <c r="S296" s="23"/>
      <c r="T296" s="23"/>
      <c r="U296" s="23"/>
      <c r="V296" s="23"/>
      <c r="W296" s="23"/>
      <c r="X296" s="23"/>
      <c r="Y296" s="23"/>
      <c r="Z296" s="23"/>
      <c r="AA296" s="23"/>
      <c r="AB296" s="23"/>
    </row>
    <row r="297" spans="5:28" ht="5.25" customHeight="1" x14ac:dyDescent="0.2">
      <c r="E297" s="11"/>
      <c r="K297" s="23"/>
      <c r="L297" s="23"/>
      <c r="M297" s="23"/>
      <c r="N297" s="23"/>
      <c r="O297" s="23"/>
      <c r="P297" s="23"/>
      <c r="Q297" s="23"/>
      <c r="R297" s="23"/>
      <c r="S297" s="23"/>
      <c r="T297" s="23"/>
      <c r="U297" s="23"/>
      <c r="V297" s="23"/>
      <c r="W297" s="23"/>
      <c r="X297" s="23"/>
      <c r="Y297" s="23"/>
      <c r="Z297" s="23"/>
      <c r="AA297" s="23"/>
      <c r="AB297" s="23"/>
    </row>
    <row r="298" spans="5:28" ht="5.25" customHeight="1" x14ac:dyDescent="0.2">
      <c r="E298" s="11"/>
      <c r="K298" s="23"/>
      <c r="L298" s="23"/>
      <c r="M298" s="23"/>
      <c r="N298" s="23"/>
      <c r="O298" s="23"/>
      <c r="P298" s="23"/>
      <c r="Q298" s="23"/>
      <c r="R298" s="23"/>
      <c r="S298" s="23"/>
      <c r="T298" s="23"/>
      <c r="U298" s="23"/>
      <c r="V298" s="23"/>
      <c r="W298" s="23"/>
      <c r="X298" s="23"/>
      <c r="Y298" s="23"/>
      <c r="Z298" s="23"/>
      <c r="AA298" s="23"/>
      <c r="AB298" s="23"/>
    </row>
    <row r="299" spans="5:28" ht="5.25" customHeight="1" x14ac:dyDescent="0.2">
      <c r="E299" s="11"/>
      <c r="K299" s="23"/>
      <c r="L299" s="23"/>
      <c r="M299" s="23"/>
      <c r="N299" s="23"/>
      <c r="O299" s="23"/>
      <c r="P299" s="23"/>
      <c r="Q299" s="23"/>
      <c r="R299" s="23"/>
      <c r="S299" s="23"/>
      <c r="T299" s="23"/>
      <c r="U299" s="23"/>
      <c r="V299" s="23"/>
      <c r="W299" s="23"/>
      <c r="X299" s="23"/>
      <c r="Y299" s="23"/>
      <c r="Z299" s="23"/>
      <c r="AA299" s="23"/>
      <c r="AB299" s="23"/>
    </row>
    <row r="300" spans="5:28" ht="5.25" customHeight="1" x14ac:dyDescent="0.2">
      <c r="E300" s="11"/>
      <c r="K300" s="23"/>
      <c r="L300" s="23"/>
      <c r="M300" s="23"/>
      <c r="N300" s="23"/>
      <c r="O300" s="23"/>
      <c r="P300" s="23"/>
      <c r="Q300" s="23"/>
      <c r="R300" s="23"/>
      <c r="S300" s="23"/>
      <c r="T300" s="23"/>
      <c r="U300" s="23"/>
      <c r="V300" s="23"/>
      <c r="W300" s="23"/>
      <c r="X300" s="23"/>
      <c r="Y300" s="23"/>
      <c r="Z300" s="23"/>
      <c r="AA300" s="23"/>
      <c r="AB300" s="23"/>
    </row>
    <row r="301" spans="5:28" ht="5.25" customHeight="1" x14ac:dyDescent="0.2">
      <c r="E301" s="11"/>
      <c r="K301" s="23"/>
      <c r="L301" s="23"/>
      <c r="M301" s="23"/>
      <c r="N301" s="23"/>
      <c r="O301" s="23"/>
      <c r="P301" s="23"/>
      <c r="Q301" s="23"/>
      <c r="R301" s="23"/>
      <c r="S301" s="23"/>
      <c r="T301" s="23"/>
      <c r="U301" s="23"/>
      <c r="V301" s="23"/>
      <c r="W301" s="23"/>
      <c r="X301" s="23"/>
      <c r="Y301" s="23"/>
      <c r="Z301" s="23"/>
      <c r="AA301" s="23"/>
      <c r="AB301" s="23"/>
    </row>
    <row r="302" spans="5:28" ht="5.25" customHeight="1" x14ac:dyDescent="0.2">
      <c r="E302" s="11"/>
      <c r="K302" s="23"/>
      <c r="L302" s="23"/>
      <c r="M302" s="23"/>
      <c r="N302" s="23"/>
      <c r="O302" s="23"/>
      <c r="P302" s="23"/>
      <c r="Q302" s="23"/>
      <c r="R302" s="23"/>
      <c r="S302" s="23"/>
      <c r="T302" s="23"/>
      <c r="U302" s="23"/>
      <c r="V302" s="23"/>
      <c r="W302" s="23"/>
      <c r="X302" s="23"/>
      <c r="Y302" s="23"/>
      <c r="Z302" s="23"/>
      <c r="AA302" s="23"/>
      <c r="AB302" s="23"/>
    </row>
    <row r="303" spans="5:28" ht="5.25" customHeight="1" x14ac:dyDescent="0.2">
      <c r="E303" s="11"/>
      <c r="K303" s="23"/>
      <c r="L303" s="23"/>
      <c r="M303" s="23"/>
      <c r="N303" s="23"/>
      <c r="O303" s="23"/>
      <c r="P303" s="23"/>
      <c r="Q303" s="23"/>
      <c r="R303" s="23"/>
      <c r="S303" s="23"/>
      <c r="T303" s="23"/>
      <c r="U303" s="23"/>
      <c r="V303" s="23"/>
      <c r="W303" s="23"/>
      <c r="X303" s="23"/>
      <c r="Y303" s="23"/>
      <c r="Z303" s="23"/>
      <c r="AA303" s="23"/>
      <c r="AB303" s="23"/>
    </row>
    <row r="304" spans="5:28" ht="5.25" customHeight="1" x14ac:dyDescent="0.2">
      <c r="E304" s="11"/>
      <c r="K304" s="23"/>
      <c r="L304" s="23"/>
      <c r="M304" s="23"/>
      <c r="N304" s="23"/>
      <c r="O304" s="23"/>
      <c r="P304" s="23"/>
      <c r="Q304" s="23"/>
      <c r="R304" s="23"/>
      <c r="S304" s="23"/>
      <c r="T304" s="23"/>
      <c r="U304" s="23"/>
      <c r="V304" s="23"/>
      <c r="W304" s="23"/>
      <c r="X304" s="23"/>
      <c r="Y304" s="23"/>
      <c r="Z304" s="23"/>
      <c r="AA304" s="23"/>
      <c r="AB304" s="23"/>
    </row>
    <row r="305" spans="5:28" ht="5.25" customHeight="1" x14ac:dyDescent="0.2">
      <c r="E305" s="11"/>
      <c r="K305" s="23"/>
      <c r="L305" s="23"/>
      <c r="M305" s="23"/>
      <c r="N305" s="23"/>
      <c r="O305" s="23"/>
      <c r="P305" s="23"/>
      <c r="Q305" s="23"/>
      <c r="R305" s="23"/>
      <c r="S305" s="23"/>
      <c r="T305" s="23"/>
      <c r="U305" s="23"/>
      <c r="V305" s="23"/>
      <c r="W305" s="23"/>
      <c r="X305" s="23"/>
      <c r="Y305" s="23"/>
      <c r="Z305" s="23"/>
      <c r="AA305" s="23"/>
      <c r="AB305" s="23"/>
    </row>
    <row r="306" spans="5:28" ht="5.25" customHeight="1" x14ac:dyDescent="0.2">
      <c r="E306" s="11"/>
      <c r="K306" s="23"/>
      <c r="L306" s="23"/>
      <c r="M306" s="23"/>
      <c r="N306" s="23"/>
      <c r="O306" s="23"/>
      <c r="P306" s="23"/>
      <c r="Q306" s="23"/>
      <c r="R306" s="23"/>
      <c r="S306" s="23"/>
      <c r="T306" s="23"/>
      <c r="U306" s="23"/>
      <c r="V306" s="23"/>
      <c r="W306" s="23"/>
      <c r="X306" s="23"/>
      <c r="Y306" s="23"/>
      <c r="Z306" s="23"/>
      <c r="AA306" s="23"/>
      <c r="AB306" s="23"/>
    </row>
    <row r="307" spans="5:28" ht="5.25" customHeight="1" x14ac:dyDescent="0.2">
      <c r="E307" s="11"/>
      <c r="K307" s="23"/>
      <c r="L307" s="23"/>
      <c r="M307" s="23"/>
      <c r="N307" s="23"/>
      <c r="O307" s="23"/>
      <c r="P307" s="23"/>
      <c r="Q307" s="23"/>
      <c r="R307" s="23"/>
      <c r="S307" s="23"/>
      <c r="T307" s="23"/>
      <c r="U307" s="23"/>
      <c r="V307" s="23"/>
      <c r="W307" s="23"/>
      <c r="X307" s="23"/>
      <c r="Y307" s="23"/>
      <c r="Z307" s="23"/>
      <c r="AA307" s="23"/>
      <c r="AB307" s="23"/>
    </row>
    <row r="308" spans="5:28" ht="5.25" customHeight="1" x14ac:dyDescent="0.2">
      <c r="E308" s="11"/>
      <c r="K308" s="23"/>
      <c r="L308" s="23"/>
      <c r="M308" s="23"/>
      <c r="N308" s="23"/>
      <c r="O308" s="23"/>
      <c r="P308" s="23"/>
      <c r="Q308" s="23"/>
      <c r="R308" s="23"/>
      <c r="S308" s="23"/>
      <c r="T308" s="23"/>
      <c r="U308" s="23"/>
      <c r="V308" s="23"/>
      <c r="W308" s="23"/>
      <c r="X308" s="23"/>
      <c r="Y308" s="23"/>
      <c r="Z308" s="23"/>
      <c r="AA308" s="23"/>
      <c r="AB308" s="23"/>
    </row>
    <row r="309" spans="5:28" x14ac:dyDescent="0.2">
      <c r="E309" s="11"/>
      <c r="K309" s="23"/>
      <c r="L309" s="23"/>
      <c r="M309" s="23"/>
      <c r="N309" s="23"/>
      <c r="O309" s="23"/>
      <c r="P309" s="23"/>
      <c r="Q309" s="23"/>
      <c r="R309" s="23"/>
      <c r="S309" s="23"/>
      <c r="T309" s="23"/>
      <c r="U309" s="23"/>
      <c r="V309" s="23"/>
      <c r="W309" s="23"/>
      <c r="X309" s="23"/>
      <c r="Y309" s="23"/>
      <c r="Z309" s="23"/>
      <c r="AA309" s="23"/>
      <c r="AB309" s="23"/>
    </row>
    <row r="310" spans="5:28" x14ac:dyDescent="0.2">
      <c r="E310" s="11"/>
      <c r="G310" s="5" t="s">
        <v>217</v>
      </c>
      <c r="K310" s="23"/>
      <c r="L310" s="23"/>
      <c r="M310" s="23"/>
      <c r="N310" s="23"/>
      <c r="O310" s="23"/>
      <c r="P310" s="23"/>
      <c r="Q310" s="23"/>
      <c r="R310" s="23"/>
      <c r="S310" s="23"/>
      <c r="T310" s="23"/>
      <c r="U310" s="23"/>
      <c r="V310" s="23"/>
      <c r="W310" s="23"/>
      <c r="X310" s="23"/>
      <c r="Y310" s="23"/>
      <c r="Z310" s="23"/>
      <c r="AA310" s="23"/>
      <c r="AB310" s="23"/>
    </row>
    <row r="311" spans="5:28" x14ac:dyDescent="0.2">
      <c r="E311" s="11"/>
      <c r="G311" s="493" t="s">
        <v>1514</v>
      </c>
      <c r="H311" s="400">
        <f>SUM(H102,H116)</f>
        <v>0</v>
      </c>
      <c r="I311" s="400">
        <f>SUM(I102,I116)</f>
        <v>0</v>
      </c>
      <c r="J311" s="400">
        <f>SUM(J102,J116)</f>
        <v>0</v>
      </c>
      <c r="K311" s="23"/>
      <c r="L311" s="23"/>
      <c r="M311" s="23"/>
      <c r="N311" s="23"/>
      <c r="O311" s="23"/>
      <c r="P311" s="23"/>
      <c r="Q311" s="23"/>
      <c r="R311" s="23"/>
      <c r="S311" s="23"/>
      <c r="T311" s="23"/>
      <c r="U311" s="23"/>
      <c r="V311" s="23"/>
      <c r="W311" s="23"/>
      <c r="X311" s="23"/>
      <c r="Y311" s="23"/>
      <c r="Z311" s="23"/>
      <c r="AA311" s="23"/>
      <c r="AB311" s="23"/>
    </row>
    <row r="312" spans="5:28" x14ac:dyDescent="0.2">
      <c r="E312" s="11"/>
      <c r="G312" s="11"/>
      <c r="K312" s="23"/>
      <c r="L312" s="23"/>
      <c r="M312" s="23"/>
      <c r="N312" s="23"/>
      <c r="O312" s="23"/>
      <c r="P312" s="23"/>
      <c r="Q312" s="23"/>
      <c r="R312" s="23"/>
      <c r="S312" s="23"/>
      <c r="T312" s="23"/>
      <c r="U312" s="23"/>
      <c r="V312" s="23"/>
      <c r="W312" s="23"/>
      <c r="X312" s="23"/>
      <c r="Y312" s="23"/>
      <c r="Z312" s="23"/>
      <c r="AA312" s="23"/>
      <c r="AB312" s="23"/>
    </row>
    <row r="313" spans="5:28" x14ac:dyDescent="0.2">
      <c r="E313" s="11"/>
      <c r="G313" s="11" t="s">
        <v>315</v>
      </c>
      <c r="H313" s="400">
        <f>SUM(H154:H155)</f>
        <v>0</v>
      </c>
      <c r="I313" s="400">
        <f>SUM(I154:I155)</f>
        <v>0</v>
      </c>
      <c r="J313" s="400">
        <f>SUM(J154:J155)</f>
        <v>0</v>
      </c>
      <c r="K313" s="23"/>
      <c r="L313" s="23"/>
      <c r="M313" s="23"/>
      <c r="N313" s="23"/>
      <c r="O313" s="23"/>
      <c r="P313" s="23"/>
      <c r="Q313" s="23"/>
      <c r="R313" s="23"/>
      <c r="S313" s="23"/>
      <c r="T313" s="23"/>
      <c r="U313" s="23"/>
      <c r="V313" s="23"/>
      <c r="W313" s="23"/>
      <c r="X313" s="23"/>
      <c r="Y313" s="23"/>
      <c r="Z313" s="23"/>
      <c r="AA313" s="23"/>
      <c r="AB313" s="23"/>
    </row>
    <row r="314" spans="5:28" x14ac:dyDescent="0.2">
      <c r="E314" s="11"/>
      <c r="G314" s="11"/>
      <c r="K314" s="23"/>
      <c r="L314" s="23"/>
      <c r="M314" s="23"/>
      <c r="N314" s="23"/>
      <c r="O314" s="23"/>
      <c r="P314" s="23"/>
      <c r="Q314" s="23"/>
      <c r="R314" s="23"/>
      <c r="S314" s="23"/>
      <c r="T314" s="23"/>
      <c r="U314" s="23"/>
      <c r="V314" s="23"/>
      <c r="W314" s="23"/>
      <c r="X314" s="23"/>
      <c r="Y314" s="23"/>
      <c r="Z314" s="23"/>
      <c r="AA314" s="23"/>
      <c r="AB314" s="23"/>
    </row>
    <row r="315" spans="5:28" x14ac:dyDescent="0.2">
      <c r="E315" s="11"/>
      <c r="G315" s="493" t="s">
        <v>927</v>
      </c>
      <c r="K315" s="23"/>
      <c r="L315" s="23"/>
      <c r="M315" s="23"/>
      <c r="N315" s="23"/>
      <c r="O315" s="23"/>
      <c r="P315" s="23"/>
      <c r="Q315" s="23"/>
      <c r="R315" s="23"/>
      <c r="S315" s="23"/>
      <c r="T315" s="23"/>
      <c r="U315" s="23"/>
      <c r="V315" s="23"/>
      <c r="W315" s="23"/>
      <c r="X315" s="23"/>
      <c r="Y315" s="23"/>
      <c r="Z315" s="23"/>
      <c r="AA315" s="23"/>
      <c r="AB315" s="23"/>
    </row>
    <row r="316" spans="5:28" x14ac:dyDescent="0.2">
      <c r="E316" s="11"/>
      <c r="G316" s="274" t="s">
        <v>578</v>
      </c>
      <c r="H316" s="400">
        <f t="shared" ref="H316:J324" si="10">SUM(H159,H175)</f>
        <v>0</v>
      </c>
      <c r="I316" s="400">
        <f t="shared" si="10"/>
        <v>0</v>
      </c>
      <c r="J316" s="400">
        <f t="shared" si="10"/>
        <v>0</v>
      </c>
      <c r="K316" s="23"/>
      <c r="L316" s="23"/>
      <c r="M316" s="23"/>
      <c r="N316" s="23"/>
      <c r="O316" s="23"/>
      <c r="P316" s="23"/>
      <c r="Q316" s="23"/>
      <c r="R316" s="23"/>
      <c r="S316" s="23"/>
      <c r="T316" s="23"/>
      <c r="U316" s="23"/>
      <c r="V316" s="23"/>
      <c r="W316" s="23"/>
      <c r="X316" s="23"/>
      <c r="Y316" s="23"/>
      <c r="Z316" s="23"/>
      <c r="AA316" s="23"/>
      <c r="AB316" s="23"/>
    </row>
    <row r="317" spans="5:28" x14ac:dyDescent="0.2">
      <c r="E317" s="11"/>
      <c r="G317" s="493" t="s">
        <v>1542</v>
      </c>
      <c r="H317" s="400">
        <f t="shared" si="10"/>
        <v>0</v>
      </c>
      <c r="I317" s="400">
        <f t="shared" si="10"/>
        <v>0</v>
      </c>
      <c r="J317" s="400">
        <f t="shared" si="10"/>
        <v>0</v>
      </c>
      <c r="K317" s="23"/>
      <c r="L317" s="23"/>
      <c r="M317" s="23"/>
      <c r="N317" s="23"/>
      <c r="O317" s="23"/>
      <c r="P317" s="23"/>
      <c r="Q317" s="23"/>
      <c r="R317" s="23"/>
      <c r="S317" s="23"/>
      <c r="T317" s="23"/>
      <c r="U317" s="23"/>
      <c r="V317" s="23"/>
      <c r="W317" s="23"/>
      <c r="X317" s="23"/>
      <c r="Y317" s="23"/>
      <c r="Z317" s="23"/>
      <c r="AA317" s="23"/>
      <c r="AB317" s="23"/>
    </row>
    <row r="318" spans="5:28" x14ac:dyDescent="0.2">
      <c r="E318" s="11"/>
      <c r="G318" s="493" t="s">
        <v>1664</v>
      </c>
      <c r="H318" s="400">
        <f>SUM(H161,H177)</f>
        <v>0</v>
      </c>
      <c r="I318" s="400">
        <f t="shared" si="10"/>
        <v>0</v>
      </c>
      <c r="J318" s="400">
        <f t="shared" si="10"/>
        <v>0</v>
      </c>
      <c r="K318" s="23"/>
      <c r="L318" s="23"/>
      <c r="M318" s="23"/>
      <c r="N318" s="23"/>
      <c r="O318" s="23"/>
      <c r="P318" s="23"/>
      <c r="Q318" s="23"/>
      <c r="R318" s="23"/>
      <c r="S318" s="23"/>
      <c r="T318" s="23"/>
      <c r="U318" s="23"/>
      <c r="V318" s="23"/>
      <c r="W318" s="23"/>
      <c r="X318" s="23"/>
      <c r="Y318" s="23"/>
      <c r="Z318" s="23"/>
      <c r="AA318" s="23"/>
      <c r="AB318" s="23"/>
    </row>
    <row r="319" spans="5:28" ht="25.5" customHeight="1" x14ac:dyDescent="0.2">
      <c r="E319" s="1160" t="s">
        <v>1572</v>
      </c>
      <c r="F319" s="1160"/>
      <c r="G319" s="1215"/>
      <c r="H319" s="400">
        <f>SUM(H162,H178)</f>
        <v>0</v>
      </c>
      <c r="I319" s="400">
        <f>SUM(I162,I178)</f>
        <v>0</v>
      </c>
      <c r="J319" s="400">
        <f t="shared" si="10"/>
        <v>0</v>
      </c>
      <c r="K319" s="23"/>
      <c r="L319" s="23"/>
      <c r="M319" s="23"/>
      <c r="N319" s="23"/>
      <c r="O319" s="23"/>
      <c r="P319" s="23"/>
      <c r="Q319" s="23"/>
      <c r="R319" s="23"/>
      <c r="S319" s="23"/>
      <c r="T319" s="23"/>
      <c r="U319" s="23"/>
      <c r="V319" s="23"/>
      <c r="W319" s="23"/>
      <c r="X319" s="23"/>
      <c r="Y319" s="23"/>
      <c r="Z319" s="23"/>
      <c r="AA319" s="23"/>
      <c r="AB319" s="23"/>
    </row>
    <row r="320" spans="5:28" x14ac:dyDescent="0.2">
      <c r="E320" s="11"/>
      <c r="G320" s="274" t="s">
        <v>751</v>
      </c>
      <c r="H320" s="400">
        <f t="shared" si="10"/>
        <v>0</v>
      </c>
      <c r="I320" s="400">
        <f t="shared" si="10"/>
        <v>0</v>
      </c>
      <c r="J320" s="400">
        <f t="shared" si="10"/>
        <v>0</v>
      </c>
      <c r="K320" s="23"/>
      <c r="L320" s="23"/>
      <c r="M320" s="23"/>
      <c r="N320" s="23"/>
      <c r="O320" s="23"/>
      <c r="P320" s="23"/>
      <c r="Q320" s="23"/>
      <c r="R320" s="23"/>
      <c r="S320" s="23"/>
      <c r="T320" s="23"/>
      <c r="U320" s="23"/>
      <c r="V320" s="23"/>
      <c r="W320" s="23"/>
      <c r="X320" s="23"/>
      <c r="Y320" s="23"/>
      <c r="Z320" s="23"/>
      <c r="AA320" s="23"/>
      <c r="AB320" s="23"/>
    </row>
    <row r="321" spans="5:28" x14ac:dyDescent="0.2">
      <c r="E321" s="11"/>
      <c r="G321" s="274" t="s">
        <v>116</v>
      </c>
      <c r="H321" s="400">
        <f t="shared" si="10"/>
        <v>0</v>
      </c>
      <c r="I321" s="400">
        <f t="shared" si="10"/>
        <v>0</v>
      </c>
      <c r="J321" s="400">
        <f t="shared" si="10"/>
        <v>0</v>
      </c>
      <c r="K321" s="23"/>
      <c r="L321" s="23"/>
      <c r="M321" s="23"/>
      <c r="N321" s="23"/>
      <c r="O321" s="23"/>
      <c r="P321" s="23"/>
      <c r="Q321" s="23"/>
      <c r="R321" s="23"/>
      <c r="S321" s="23"/>
      <c r="T321" s="23"/>
      <c r="U321" s="23"/>
      <c r="V321" s="23"/>
      <c r="W321" s="23"/>
      <c r="X321" s="23"/>
      <c r="Y321" s="23"/>
      <c r="Z321" s="23"/>
      <c r="AA321" s="23"/>
      <c r="AB321" s="23"/>
    </row>
    <row r="322" spans="5:28" x14ac:dyDescent="0.2">
      <c r="E322" s="11"/>
      <c r="G322" s="274" t="s">
        <v>816</v>
      </c>
      <c r="H322" s="400">
        <f t="shared" si="10"/>
        <v>0</v>
      </c>
      <c r="I322" s="400">
        <f t="shared" si="10"/>
        <v>0</v>
      </c>
      <c r="J322" s="400">
        <f t="shared" si="10"/>
        <v>0</v>
      </c>
      <c r="K322" s="23"/>
      <c r="L322" s="23"/>
      <c r="M322" s="23"/>
      <c r="N322" s="23"/>
      <c r="O322" s="23"/>
      <c r="P322" s="23"/>
      <c r="Q322" s="23"/>
      <c r="R322" s="23"/>
      <c r="S322" s="23"/>
      <c r="T322" s="23"/>
      <c r="U322" s="23"/>
      <c r="V322" s="23"/>
      <c r="W322" s="23"/>
      <c r="X322" s="23"/>
      <c r="Y322" s="23"/>
      <c r="Z322" s="23"/>
      <c r="AA322" s="23"/>
      <c r="AB322" s="23"/>
    </row>
    <row r="323" spans="5:28" x14ac:dyDescent="0.2">
      <c r="E323" s="11"/>
      <c r="G323" s="274" t="s">
        <v>716</v>
      </c>
      <c r="H323" s="400">
        <f t="shared" si="10"/>
        <v>0</v>
      </c>
      <c r="I323" s="400">
        <f t="shared" si="10"/>
        <v>0</v>
      </c>
      <c r="J323" s="400">
        <f t="shared" si="10"/>
        <v>0</v>
      </c>
      <c r="K323" s="23"/>
      <c r="L323" s="23"/>
      <c r="M323" s="23"/>
      <c r="N323" s="23"/>
      <c r="O323" s="23"/>
      <c r="P323" s="23"/>
      <c r="Q323" s="23"/>
      <c r="R323" s="23"/>
      <c r="S323" s="23"/>
      <c r="T323" s="23"/>
      <c r="U323" s="23"/>
      <c r="V323" s="23"/>
      <c r="W323" s="23"/>
      <c r="X323" s="23"/>
      <c r="Y323" s="23"/>
      <c r="Z323" s="23"/>
      <c r="AA323" s="23"/>
      <c r="AB323" s="23"/>
    </row>
    <row r="324" spans="5:28" x14ac:dyDescent="0.2">
      <c r="E324" s="11"/>
      <c r="G324" s="493" t="s">
        <v>1588</v>
      </c>
      <c r="H324" s="400">
        <f t="shared" si="10"/>
        <v>0</v>
      </c>
      <c r="I324" s="400">
        <f t="shared" si="10"/>
        <v>0</v>
      </c>
      <c r="J324" s="400">
        <f t="shared" si="10"/>
        <v>0</v>
      </c>
      <c r="K324" s="23"/>
      <c r="L324" s="23"/>
      <c r="M324" s="23"/>
      <c r="N324" s="23"/>
      <c r="O324" s="23"/>
      <c r="P324" s="23"/>
      <c r="Q324" s="23"/>
      <c r="R324" s="23"/>
      <c r="S324" s="23"/>
      <c r="T324" s="23"/>
      <c r="U324" s="23"/>
      <c r="V324" s="23"/>
      <c r="W324" s="23"/>
      <c r="X324" s="23"/>
      <c r="Y324" s="23"/>
      <c r="Z324" s="23"/>
      <c r="AA324" s="23"/>
      <c r="AB324" s="23"/>
    </row>
    <row r="325" spans="5:28" x14ac:dyDescent="0.2">
      <c r="E325" s="11"/>
      <c r="G325" s="493" t="s">
        <v>1279</v>
      </c>
      <c r="H325" s="400">
        <f t="shared" ref="H325:J325" si="11">H184</f>
        <v>0</v>
      </c>
      <c r="I325" s="400">
        <f t="shared" si="11"/>
        <v>0</v>
      </c>
      <c r="J325" s="400">
        <f t="shared" si="11"/>
        <v>0</v>
      </c>
      <c r="K325" s="23"/>
      <c r="L325" s="23"/>
      <c r="M325" s="23"/>
      <c r="N325" s="23"/>
      <c r="O325" s="23"/>
      <c r="P325" s="23"/>
      <c r="Q325" s="23"/>
      <c r="R325" s="23"/>
      <c r="S325" s="23"/>
      <c r="T325" s="23"/>
      <c r="U325" s="23"/>
      <c r="V325" s="23"/>
      <c r="W325" s="23"/>
      <c r="X325" s="23"/>
      <c r="Y325" s="23"/>
      <c r="Z325" s="23"/>
      <c r="AA325" s="23"/>
      <c r="AB325" s="23"/>
    </row>
    <row r="326" spans="5:28" x14ac:dyDescent="0.2">
      <c r="E326" s="11"/>
      <c r="G326" s="493" t="s">
        <v>1374</v>
      </c>
      <c r="H326" s="400">
        <f t="shared" ref="H326:J329" si="12">SUM(H168,H185)</f>
        <v>0</v>
      </c>
      <c r="I326" s="400">
        <f t="shared" si="12"/>
        <v>0</v>
      </c>
      <c r="J326" s="400">
        <f t="shared" si="12"/>
        <v>0</v>
      </c>
      <c r="K326" s="23"/>
      <c r="L326" s="23"/>
      <c r="M326" s="23"/>
      <c r="N326" s="23"/>
      <c r="O326" s="23"/>
      <c r="P326" s="23"/>
      <c r="Q326" s="23"/>
      <c r="R326" s="23"/>
      <c r="S326" s="23"/>
      <c r="T326" s="23"/>
      <c r="U326" s="23"/>
      <c r="V326" s="23"/>
      <c r="W326" s="23"/>
      <c r="X326" s="23"/>
      <c r="Y326" s="23"/>
      <c r="Z326" s="23"/>
      <c r="AA326" s="23"/>
      <c r="AB326" s="23"/>
    </row>
    <row r="327" spans="5:28" x14ac:dyDescent="0.2">
      <c r="E327" s="11"/>
      <c r="G327" s="493" t="s">
        <v>1375</v>
      </c>
      <c r="H327" s="400">
        <f t="shared" si="12"/>
        <v>0</v>
      </c>
      <c r="I327" s="400">
        <f t="shared" si="12"/>
        <v>0</v>
      </c>
      <c r="J327" s="400">
        <f t="shared" si="12"/>
        <v>0</v>
      </c>
      <c r="K327" s="23"/>
      <c r="L327" s="23"/>
      <c r="M327" s="23"/>
      <c r="N327" s="23"/>
      <c r="O327" s="23"/>
      <c r="P327" s="23"/>
      <c r="Q327" s="23"/>
      <c r="R327" s="23"/>
      <c r="S327" s="23"/>
      <c r="T327" s="23"/>
      <c r="U327" s="23"/>
      <c r="V327" s="23"/>
      <c r="W327" s="23"/>
      <c r="X327" s="23"/>
      <c r="Y327" s="23"/>
      <c r="Z327" s="23"/>
      <c r="AA327" s="23"/>
      <c r="AB327" s="23"/>
    </row>
    <row r="328" spans="5:28" x14ac:dyDescent="0.2">
      <c r="E328" s="11"/>
      <c r="G328" s="274" t="s">
        <v>82</v>
      </c>
      <c r="H328" s="400">
        <f t="shared" si="12"/>
        <v>0</v>
      </c>
      <c r="I328" s="400">
        <f t="shared" si="12"/>
        <v>0</v>
      </c>
      <c r="J328" s="400">
        <f t="shared" si="12"/>
        <v>0</v>
      </c>
      <c r="K328" s="23"/>
      <c r="L328" s="23"/>
      <c r="M328" s="23"/>
      <c r="N328" s="23"/>
      <c r="O328" s="23"/>
      <c r="P328" s="23"/>
      <c r="Q328" s="23"/>
      <c r="R328" s="23"/>
      <c r="S328" s="23"/>
      <c r="T328" s="23"/>
      <c r="U328" s="23"/>
      <c r="V328" s="23"/>
      <c r="W328" s="23"/>
      <c r="X328" s="23"/>
      <c r="Y328" s="23"/>
      <c r="Z328" s="23"/>
      <c r="AA328" s="23"/>
      <c r="AB328" s="23"/>
    </row>
    <row r="329" spans="5:28" x14ac:dyDescent="0.2">
      <c r="E329" s="11"/>
      <c r="G329" s="274" t="s">
        <v>760</v>
      </c>
      <c r="H329" s="400">
        <f t="shared" si="12"/>
        <v>0</v>
      </c>
      <c r="I329" s="400">
        <f t="shared" si="12"/>
        <v>0</v>
      </c>
      <c r="J329" s="400">
        <f t="shared" si="12"/>
        <v>0</v>
      </c>
      <c r="K329" s="23"/>
      <c r="L329" s="23"/>
      <c r="M329" s="23"/>
      <c r="N329" s="23"/>
      <c r="O329" s="23"/>
      <c r="P329" s="23"/>
      <c r="Q329" s="23"/>
      <c r="R329" s="23"/>
      <c r="S329" s="23"/>
      <c r="T329" s="23"/>
      <c r="U329" s="23"/>
      <c r="V329" s="23"/>
      <c r="W329" s="23"/>
      <c r="X329" s="23"/>
      <c r="Y329" s="23"/>
      <c r="Z329" s="23"/>
      <c r="AA329" s="23"/>
      <c r="AB329" s="23"/>
    </row>
    <row r="330" spans="5:28" x14ac:dyDescent="0.2">
      <c r="E330" s="11"/>
      <c r="K330" s="23"/>
      <c r="L330" s="23"/>
      <c r="M330" s="23"/>
      <c r="N330" s="23"/>
      <c r="O330" s="23"/>
      <c r="P330" s="23"/>
      <c r="Q330" s="23"/>
      <c r="R330" s="23"/>
      <c r="S330" s="23"/>
      <c r="T330" s="23"/>
      <c r="U330" s="23"/>
      <c r="V330" s="23"/>
      <c r="W330" s="23"/>
      <c r="X330" s="23"/>
      <c r="Y330" s="23"/>
      <c r="Z330" s="23"/>
      <c r="AA330" s="23"/>
      <c r="AB330" s="23"/>
    </row>
    <row r="331" spans="5:28" x14ac:dyDescent="0.2">
      <c r="E331" s="11"/>
      <c r="K331" s="23"/>
      <c r="L331" s="23"/>
      <c r="M331" s="23"/>
      <c r="N331" s="23"/>
      <c r="O331" s="23"/>
      <c r="P331" s="23"/>
      <c r="Q331" s="23"/>
      <c r="R331" s="23"/>
      <c r="S331" s="23"/>
      <c r="T331" s="23"/>
      <c r="U331" s="23"/>
      <c r="V331" s="23"/>
      <c r="W331" s="23"/>
      <c r="X331" s="23"/>
      <c r="Y331" s="23"/>
      <c r="Z331" s="23"/>
      <c r="AA331" s="23"/>
      <c r="AB331" s="23"/>
    </row>
    <row r="332" spans="5:28" x14ac:dyDescent="0.2">
      <c r="E332" s="11"/>
      <c r="K332" s="23"/>
      <c r="L332" s="23"/>
      <c r="M332" s="23"/>
      <c r="N332" s="23"/>
      <c r="O332" s="23"/>
      <c r="P332" s="23"/>
      <c r="Q332" s="23"/>
      <c r="R332" s="23"/>
      <c r="S332" s="23"/>
      <c r="T332" s="23"/>
      <c r="U332" s="23"/>
      <c r="V332" s="23"/>
      <c r="W332" s="23"/>
      <c r="X332" s="23"/>
      <c r="Y332" s="23"/>
      <c r="Z332" s="23"/>
      <c r="AA332" s="23"/>
      <c r="AB332" s="23"/>
    </row>
    <row r="333" spans="5:28" x14ac:dyDescent="0.2">
      <c r="E333" s="11"/>
      <c r="K333" s="23"/>
      <c r="L333" s="23"/>
      <c r="M333" s="23"/>
      <c r="N333" s="23"/>
      <c r="O333" s="23"/>
      <c r="P333" s="23"/>
      <c r="Q333" s="23"/>
      <c r="R333" s="23"/>
      <c r="S333" s="23"/>
      <c r="T333" s="23"/>
      <c r="U333" s="23"/>
      <c r="V333" s="23"/>
      <c r="W333" s="23"/>
      <c r="X333" s="23"/>
      <c r="Y333" s="23"/>
      <c r="Z333" s="23"/>
      <c r="AA333" s="23"/>
      <c r="AB333" s="23"/>
    </row>
    <row r="334" spans="5:28" x14ac:dyDescent="0.2">
      <c r="E334" s="11"/>
      <c r="K334" s="23"/>
      <c r="L334" s="23"/>
      <c r="M334" s="23"/>
      <c r="N334" s="23"/>
      <c r="O334" s="23"/>
      <c r="P334" s="23"/>
      <c r="Q334" s="23"/>
      <c r="R334" s="23"/>
      <c r="S334" s="23"/>
      <c r="T334" s="23"/>
      <c r="U334" s="23"/>
      <c r="V334" s="23"/>
      <c r="W334" s="23"/>
      <c r="X334" s="23"/>
      <c r="Y334" s="23"/>
      <c r="Z334" s="23"/>
      <c r="AA334" s="23"/>
      <c r="AB334" s="23"/>
    </row>
    <row r="335" spans="5:28" x14ac:dyDescent="0.2">
      <c r="E335" s="11"/>
      <c r="K335" s="23"/>
      <c r="L335" s="23"/>
      <c r="M335" s="23"/>
      <c r="N335" s="23"/>
      <c r="O335" s="23"/>
      <c r="P335" s="23"/>
      <c r="Q335" s="23"/>
      <c r="R335" s="23"/>
      <c r="S335" s="23"/>
      <c r="T335" s="23"/>
      <c r="U335" s="23"/>
      <c r="V335" s="23"/>
      <c r="W335" s="23"/>
      <c r="X335" s="23"/>
      <c r="Y335" s="23"/>
      <c r="Z335" s="23"/>
      <c r="AA335" s="23"/>
      <c r="AB335" s="23"/>
    </row>
    <row r="336" spans="5:28" x14ac:dyDescent="0.2">
      <c r="E336" s="11"/>
      <c r="K336" s="23"/>
      <c r="L336" s="23"/>
      <c r="M336" s="23"/>
      <c r="N336" s="23"/>
      <c r="O336" s="23"/>
      <c r="P336" s="23"/>
      <c r="Q336" s="23"/>
      <c r="R336" s="23"/>
      <c r="S336" s="23"/>
      <c r="T336" s="23"/>
      <c r="U336" s="23"/>
      <c r="V336" s="23"/>
      <c r="W336" s="23"/>
      <c r="X336" s="23"/>
      <c r="Y336" s="23"/>
      <c r="Z336" s="23"/>
      <c r="AA336" s="23"/>
      <c r="AB336" s="23"/>
    </row>
    <row r="337" spans="5:28" x14ac:dyDescent="0.2">
      <c r="E337" s="11"/>
      <c r="K337" s="23"/>
      <c r="L337" s="23"/>
      <c r="M337" s="23"/>
      <c r="N337" s="23"/>
      <c r="O337" s="23"/>
      <c r="P337" s="23"/>
      <c r="Q337" s="23"/>
      <c r="R337" s="23"/>
      <c r="S337" s="23"/>
      <c r="T337" s="23"/>
      <c r="U337" s="23"/>
      <c r="V337" s="23"/>
      <c r="W337" s="23"/>
      <c r="X337" s="23"/>
      <c r="Y337" s="23"/>
      <c r="Z337" s="23"/>
      <c r="AA337" s="23"/>
      <c r="AB337" s="23"/>
    </row>
    <row r="338" spans="5:28" x14ac:dyDescent="0.2">
      <c r="E338" s="11"/>
      <c r="K338" s="23"/>
      <c r="L338" s="23"/>
      <c r="M338" s="23"/>
      <c r="N338" s="23"/>
      <c r="O338" s="23"/>
      <c r="P338" s="23"/>
      <c r="Q338" s="23"/>
      <c r="R338" s="23"/>
      <c r="S338" s="23"/>
      <c r="T338" s="23"/>
      <c r="U338" s="23"/>
      <c r="V338" s="23"/>
      <c r="W338" s="23"/>
      <c r="X338" s="23"/>
      <c r="Y338" s="23"/>
      <c r="Z338" s="23"/>
      <c r="AA338" s="23"/>
      <c r="AB338" s="23"/>
    </row>
    <row r="339" spans="5:28" x14ac:dyDescent="0.2">
      <c r="E339" s="11"/>
      <c r="K339" s="23"/>
      <c r="L339" s="23"/>
      <c r="M339" s="23"/>
      <c r="N339" s="23"/>
      <c r="O339" s="23"/>
      <c r="P339" s="23"/>
      <c r="Q339" s="23"/>
      <c r="R339" s="23"/>
      <c r="S339" s="23"/>
      <c r="T339" s="23"/>
      <c r="U339" s="23"/>
      <c r="V339" s="23"/>
      <c r="W339" s="23"/>
      <c r="X339" s="23"/>
      <c r="Y339" s="23"/>
      <c r="Z339" s="23"/>
      <c r="AA339" s="23"/>
      <c r="AB339" s="23"/>
    </row>
    <row r="340" spans="5:28" x14ac:dyDescent="0.2">
      <c r="E340" s="11"/>
      <c r="K340" s="23"/>
      <c r="L340" s="23"/>
      <c r="M340" s="23"/>
      <c r="N340" s="23"/>
      <c r="O340" s="23"/>
      <c r="P340" s="23"/>
      <c r="Q340" s="23"/>
      <c r="R340" s="23"/>
      <c r="S340" s="23"/>
      <c r="T340" s="23"/>
      <c r="U340" s="23"/>
      <c r="V340" s="23"/>
      <c r="W340" s="23"/>
      <c r="X340" s="23"/>
      <c r="Y340" s="23"/>
      <c r="Z340" s="23"/>
      <c r="AA340" s="23"/>
      <c r="AB340" s="23"/>
    </row>
    <row r="341" spans="5:28" x14ac:dyDescent="0.2">
      <c r="E341" s="11"/>
      <c r="K341" s="23"/>
      <c r="L341" s="23"/>
      <c r="M341" s="23"/>
      <c r="N341" s="23"/>
      <c r="O341" s="23"/>
      <c r="P341" s="23"/>
      <c r="Q341" s="23"/>
      <c r="R341" s="23"/>
      <c r="S341" s="23"/>
      <c r="T341" s="23"/>
      <c r="U341" s="23"/>
      <c r="V341" s="23"/>
      <c r="W341" s="23"/>
      <c r="X341" s="23"/>
      <c r="Y341" s="23"/>
      <c r="Z341" s="23"/>
      <c r="AA341" s="23"/>
      <c r="AB341" s="23"/>
    </row>
    <row r="342" spans="5:28" x14ac:dyDescent="0.2">
      <c r="E342" s="11"/>
      <c r="K342" s="23"/>
      <c r="L342" s="23"/>
      <c r="M342" s="23"/>
      <c r="N342" s="23"/>
      <c r="O342" s="23"/>
      <c r="P342" s="23"/>
      <c r="Q342" s="23"/>
      <c r="R342" s="23"/>
      <c r="S342" s="23"/>
      <c r="T342" s="23"/>
      <c r="U342" s="23"/>
      <c r="V342" s="23"/>
      <c r="W342" s="23"/>
      <c r="X342" s="23"/>
      <c r="Y342" s="23"/>
      <c r="Z342" s="23"/>
      <c r="AA342" s="23"/>
      <c r="AB342" s="23"/>
    </row>
    <row r="343" spans="5:28" x14ac:dyDescent="0.2">
      <c r="E343" s="11"/>
      <c r="K343" s="23"/>
      <c r="L343" s="23"/>
      <c r="M343" s="23"/>
      <c r="N343" s="23"/>
      <c r="O343" s="23"/>
      <c r="P343" s="23"/>
      <c r="Q343" s="23"/>
      <c r="R343" s="23"/>
      <c r="S343" s="23"/>
      <c r="T343" s="23"/>
      <c r="U343" s="23"/>
      <c r="V343" s="23"/>
      <c r="W343" s="23"/>
      <c r="X343" s="23"/>
      <c r="Y343" s="23"/>
      <c r="Z343" s="23"/>
      <c r="AA343" s="23"/>
      <c r="AB343" s="23"/>
    </row>
    <row r="344" spans="5:28" x14ac:dyDescent="0.2">
      <c r="K344" s="23"/>
      <c r="L344" s="23"/>
      <c r="M344" s="23"/>
      <c r="N344" s="23"/>
      <c r="O344" s="23"/>
      <c r="P344" s="23"/>
      <c r="Q344" s="23"/>
      <c r="R344" s="23"/>
      <c r="S344" s="23"/>
      <c r="T344" s="23"/>
      <c r="U344" s="23"/>
      <c r="V344" s="23"/>
      <c r="W344" s="23"/>
      <c r="X344" s="23"/>
      <c r="Y344" s="23"/>
      <c r="Z344" s="23"/>
      <c r="AA344" s="23"/>
      <c r="AB344" s="23"/>
    </row>
    <row r="345" spans="5:28" x14ac:dyDescent="0.2">
      <c r="K345" s="23"/>
      <c r="L345" s="23"/>
      <c r="M345" s="23"/>
      <c r="N345" s="23"/>
      <c r="O345" s="23"/>
      <c r="P345" s="23"/>
      <c r="Q345" s="23"/>
      <c r="R345" s="23"/>
      <c r="S345" s="23"/>
      <c r="T345" s="23"/>
      <c r="U345" s="23"/>
      <c r="V345" s="23"/>
      <c r="W345" s="23"/>
      <c r="X345" s="23"/>
      <c r="Y345" s="23"/>
      <c r="Z345" s="23"/>
      <c r="AA345" s="23"/>
      <c r="AB345" s="23"/>
    </row>
    <row r="346" spans="5:28" x14ac:dyDescent="0.2">
      <c r="K346" s="23"/>
      <c r="L346" s="23"/>
      <c r="M346" s="23"/>
      <c r="N346" s="23"/>
      <c r="O346" s="23"/>
      <c r="P346" s="23"/>
      <c r="Q346" s="23"/>
      <c r="R346" s="23"/>
      <c r="S346" s="23"/>
      <c r="T346" s="23"/>
      <c r="U346" s="23"/>
      <c r="V346" s="23"/>
      <c r="W346" s="23"/>
      <c r="X346" s="23"/>
      <c r="Y346" s="23"/>
      <c r="Z346" s="23"/>
      <c r="AA346" s="23"/>
      <c r="AB346" s="23"/>
    </row>
    <row r="347" spans="5:28" x14ac:dyDescent="0.2">
      <c r="K347" s="23"/>
      <c r="L347" s="23"/>
      <c r="M347" s="23"/>
      <c r="N347" s="23"/>
      <c r="O347" s="23"/>
      <c r="P347" s="23"/>
      <c r="Q347" s="23"/>
      <c r="R347" s="23"/>
      <c r="S347" s="23"/>
      <c r="T347" s="23"/>
      <c r="U347" s="23"/>
      <c r="V347" s="23"/>
      <c r="W347" s="23"/>
      <c r="X347" s="23"/>
      <c r="Y347" s="23"/>
      <c r="Z347" s="23"/>
      <c r="AA347" s="23"/>
      <c r="AB347" s="23"/>
    </row>
    <row r="348" spans="5:28" x14ac:dyDescent="0.2">
      <c r="K348" s="23"/>
      <c r="L348" s="23"/>
      <c r="M348" s="23"/>
      <c r="N348" s="23"/>
      <c r="O348" s="23"/>
      <c r="P348" s="23"/>
      <c r="Q348" s="23"/>
      <c r="R348" s="23"/>
      <c r="S348" s="23"/>
      <c r="T348" s="23"/>
      <c r="U348" s="23"/>
      <c r="V348" s="23"/>
      <c r="W348" s="23"/>
      <c r="X348" s="23"/>
      <c r="Y348" s="23"/>
      <c r="Z348" s="23"/>
      <c r="AA348" s="23"/>
      <c r="AB348" s="23"/>
    </row>
    <row r="349" spans="5:28" x14ac:dyDescent="0.2">
      <c r="K349" s="23"/>
      <c r="L349" s="23"/>
      <c r="M349" s="23"/>
      <c r="N349" s="23"/>
      <c r="O349" s="23"/>
      <c r="P349" s="23"/>
      <c r="Q349" s="23"/>
      <c r="R349" s="23"/>
      <c r="S349" s="23"/>
      <c r="T349" s="23"/>
      <c r="U349" s="23"/>
      <c r="V349" s="23"/>
      <c r="W349" s="23"/>
      <c r="X349" s="23"/>
      <c r="Y349" s="23"/>
      <c r="Z349" s="23"/>
      <c r="AA349" s="23"/>
      <c r="AB349" s="23"/>
    </row>
    <row r="350" spans="5:28" x14ac:dyDescent="0.2">
      <c r="K350" s="23"/>
      <c r="L350" s="23"/>
      <c r="M350" s="23"/>
      <c r="N350" s="23"/>
      <c r="O350" s="23"/>
      <c r="P350" s="23"/>
      <c r="Q350" s="23"/>
      <c r="R350" s="23"/>
      <c r="S350" s="23"/>
      <c r="T350" s="23"/>
      <c r="U350" s="23"/>
      <c r="V350" s="23"/>
      <c r="W350" s="23"/>
      <c r="X350" s="23"/>
      <c r="Y350" s="23"/>
      <c r="Z350" s="23"/>
      <c r="AA350" s="23"/>
      <c r="AB350" s="23"/>
    </row>
    <row r="351" spans="5:28" x14ac:dyDescent="0.2">
      <c r="K351" s="23"/>
      <c r="L351" s="23"/>
      <c r="M351" s="23"/>
      <c r="N351" s="23"/>
      <c r="O351" s="23"/>
      <c r="P351" s="23"/>
      <c r="Q351" s="23"/>
      <c r="R351" s="23"/>
      <c r="S351" s="23"/>
      <c r="T351" s="23"/>
      <c r="U351" s="23"/>
      <c r="V351" s="23"/>
      <c r="W351" s="23"/>
      <c r="X351" s="23"/>
      <c r="Y351" s="23"/>
      <c r="Z351" s="23"/>
      <c r="AA351" s="23"/>
      <c r="AB351" s="23"/>
    </row>
    <row r="352" spans="5:28" x14ac:dyDescent="0.2">
      <c r="K352" s="23"/>
      <c r="L352" s="23"/>
      <c r="M352" s="23"/>
      <c r="N352" s="23"/>
      <c r="O352" s="23"/>
      <c r="P352" s="23"/>
      <c r="Q352" s="23"/>
      <c r="R352" s="23"/>
      <c r="S352" s="23"/>
      <c r="T352" s="23"/>
      <c r="U352" s="23"/>
      <c r="V352" s="23"/>
      <c r="W352" s="23"/>
      <c r="X352" s="23"/>
      <c r="Y352" s="23"/>
      <c r="Z352" s="23"/>
      <c r="AA352" s="23"/>
      <c r="AB352" s="23"/>
    </row>
    <row r="353" spans="11:28" x14ac:dyDescent="0.2">
      <c r="K353" s="23"/>
      <c r="L353" s="23"/>
      <c r="M353" s="23"/>
      <c r="N353" s="23"/>
      <c r="O353" s="23"/>
      <c r="P353" s="23"/>
      <c r="Q353" s="23"/>
      <c r="R353" s="23"/>
      <c r="S353" s="23"/>
      <c r="T353" s="23"/>
      <c r="U353" s="23"/>
      <c r="V353" s="23"/>
      <c r="W353" s="23"/>
      <c r="X353" s="23"/>
      <c r="Y353" s="23"/>
      <c r="Z353" s="23"/>
      <c r="AA353" s="23"/>
      <c r="AB353" s="23"/>
    </row>
    <row r="354" spans="11:28" x14ac:dyDescent="0.2">
      <c r="K354" s="23"/>
      <c r="L354" s="23"/>
      <c r="M354" s="23"/>
      <c r="N354" s="23"/>
      <c r="O354" s="23"/>
      <c r="P354" s="23"/>
      <c r="Q354" s="23"/>
      <c r="R354" s="23"/>
      <c r="S354" s="23"/>
      <c r="T354" s="23"/>
      <c r="U354" s="23"/>
      <c r="V354" s="23"/>
      <c r="W354" s="23"/>
      <c r="X354" s="23"/>
      <c r="Y354" s="23"/>
      <c r="Z354" s="23"/>
      <c r="AA354" s="23"/>
      <c r="AB354" s="23"/>
    </row>
    <row r="355" spans="11:28" x14ac:dyDescent="0.2">
      <c r="K355" s="23"/>
      <c r="L355" s="23"/>
      <c r="M355" s="23"/>
      <c r="N355" s="23"/>
      <c r="O355" s="23"/>
      <c r="P355" s="23"/>
      <c r="Q355" s="23"/>
      <c r="R355" s="23"/>
      <c r="S355" s="23"/>
      <c r="T355" s="23"/>
      <c r="U355" s="23"/>
      <c r="V355" s="23"/>
      <c r="W355" s="23"/>
      <c r="X355" s="23"/>
      <c r="Y355" s="23"/>
      <c r="Z355" s="23"/>
      <c r="AA355" s="23"/>
      <c r="AB355" s="23"/>
    </row>
    <row r="356" spans="11:28" x14ac:dyDescent="0.2">
      <c r="K356" s="23"/>
      <c r="L356" s="23"/>
      <c r="M356" s="23"/>
      <c r="N356" s="23"/>
      <c r="O356" s="23"/>
      <c r="P356" s="23"/>
      <c r="Q356" s="23"/>
      <c r="R356" s="23"/>
      <c r="S356" s="23"/>
      <c r="T356" s="23"/>
      <c r="U356" s="23"/>
      <c r="V356" s="23"/>
      <c r="W356" s="23"/>
      <c r="X356" s="23"/>
      <c r="Y356" s="23"/>
      <c r="Z356" s="23"/>
      <c r="AA356" s="23"/>
      <c r="AB356" s="23"/>
    </row>
    <row r="357" spans="11:28" x14ac:dyDescent="0.2">
      <c r="K357" s="23"/>
      <c r="L357" s="23"/>
      <c r="M357" s="23"/>
      <c r="N357" s="23"/>
      <c r="O357" s="23"/>
      <c r="P357" s="23"/>
      <c r="Q357" s="23"/>
      <c r="R357" s="23"/>
      <c r="S357" s="23"/>
      <c r="T357" s="23"/>
      <c r="U357" s="23"/>
      <c r="V357" s="23"/>
      <c r="W357" s="23"/>
      <c r="X357" s="23"/>
      <c r="Y357" s="23"/>
      <c r="Z357" s="23"/>
      <c r="AA357" s="23"/>
      <c r="AB357" s="23"/>
    </row>
    <row r="358" spans="11:28" x14ac:dyDescent="0.2">
      <c r="K358" s="23"/>
      <c r="L358" s="23"/>
      <c r="M358" s="23"/>
      <c r="N358" s="23"/>
      <c r="O358" s="23"/>
      <c r="P358" s="23"/>
      <c r="Q358" s="23"/>
      <c r="R358" s="23"/>
      <c r="S358" s="23"/>
      <c r="T358" s="23"/>
      <c r="U358" s="23"/>
      <c r="V358" s="23"/>
      <c r="W358" s="23"/>
      <c r="X358" s="23"/>
      <c r="Y358" s="23"/>
      <c r="Z358" s="23"/>
      <c r="AA358" s="23"/>
      <c r="AB358" s="23"/>
    </row>
    <row r="359" spans="11:28" x14ac:dyDescent="0.2">
      <c r="K359" s="23"/>
      <c r="L359" s="23"/>
      <c r="M359" s="23"/>
      <c r="N359" s="23"/>
      <c r="O359" s="23"/>
      <c r="P359" s="23"/>
      <c r="Q359" s="23"/>
      <c r="R359" s="23"/>
      <c r="S359" s="23"/>
      <c r="T359" s="23"/>
      <c r="U359" s="23"/>
      <c r="V359" s="23"/>
      <c r="W359" s="23"/>
      <c r="X359" s="23"/>
      <c r="Y359" s="23"/>
      <c r="Z359" s="23"/>
      <c r="AA359" s="23"/>
      <c r="AB359" s="23"/>
    </row>
    <row r="360" spans="11:28" x14ac:dyDescent="0.2">
      <c r="K360" s="23"/>
      <c r="L360" s="23"/>
      <c r="M360" s="23"/>
      <c r="N360" s="23"/>
      <c r="O360" s="23"/>
      <c r="P360" s="23"/>
      <c r="Q360" s="23"/>
      <c r="R360" s="23"/>
      <c r="S360" s="23"/>
      <c r="T360" s="23"/>
      <c r="U360" s="23"/>
      <c r="V360" s="23"/>
      <c r="W360" s="23"/>
      <c r="X360" s="23"/>
      <c r="Y360" s="23"/>
      <c r="Z360" s="23"/>
      <c r="AA360" s="23"/>
      <c r="AB360" s="23"/>
    </row>
    <row r="361" spans="11:28" x14ac:dyDescent="0.2">
      <c r="K361" s="23"/>
      <c r="L361" s="23"/>
      <c r="M361" s="23"/>
      <c r="N361" s="23"/>
      <c r="O361" s="23"/>
      <c r="P361" s="23"/>
      <c r="Q361" s="23"/>
      <c r="R361" s="23"/>
      <c r="S361" s="23"/>
      <c r="T361" s="23"/>
      <c r="U361" s="23"/>
      <c r="V361" s="23"/>
      <c r="W361" s="23"/>
      <c r="X361" s="23"/>
      <c r="Y361" s="23"/>
      <c r="Z361" s="23"/>
      <c r="AA361" s="23"/>
      <c r="AB361" s="23"/>
    </row>
    <row r="362" spans="11:28" x14ac:dyDescent="0.2">
      <c r="K362" s="23"/>
      <c r="L362" s="23"/>
      <c r="M362" s="23"/>
      <c r="N362" s="23"/>
      <c r="O362" s="23"/>
      <c r="P362" s="23"/>
      <c r="Q362" s="23"/>
      <c r="R362" s="23"/>
      <c r="S362" s="23"/>
      <c r="T362" s="23"/>
      <c r="U362" s="23"/>
      <c r="V362" s="23"/>
      <c r="W362" s="23"/>
      <c r="X362" s="23"/>
      <c r="Y362" s="23"/>
      <c r="Z362" s="23"/>
      <c r="AA362" s="23"/>
      <c r="AB362" s="23"/>
    </row>
    <row r="363" spans="11:28" x14ac:dyDescent="0.2">
      <c r="K363" s="23"/>
      <c r="L363" s="23"/>
      <c r="M363" s="23"/>
      <c r="N363" s="23"/>
      <c r="O363" s="23"/>
      <c r="P363" s="23"/>
      <c r="Q363" s="23"/>
      <c r="R363" s="23"/>
      <c r="S363" s="23"/>
      <c r="T363" s="23"/>
      <c r="U363" s="23"/>
      <c r="V363" s="23"/>
      <c r="W363" s="23"/>
      <c r="X363" s="23"/>
      <c r="Y363" s="23"/>
      <c r="Z363" s="23"/>
      <c r="AA363" s="23"/>
      <c r="AB363" s="23"/>
    </row>
    <row r="364" spans="11:28" x14ac:dyDescent="0.2">
      <c r="K364" s="23"/>
      <c r="L364" s="23"/>
      <c r="M364" s="23"/>
      <c r="N364" s="23"/>
      <c r="O364" s="23"/>
      <c r="P364" s="23"/>
      <c r="Q364" s="23"/>
      <c r="R364" s="23"/>
      <c r="S364" s="23"/>
      <c r="T364" s="23"/>
      <c r="U364" s="23"/>
      <c r="V364" s="23"/>
      <c r="W364" s="23"/>
      <c r="X364" s="23"/>
      <c r="Y364" s="23"/>
      <c r="Z364" s="23"/>
      <c r="AA364" s="23"/>
      <c r="AB364" s="23"/>
    </row>
    <row r="365" spans="11:28" x14ac:dyDescent="0.2">
      <c r="K365" s="23"/>
      <c r="L365" s="23"/>
      <c r="M365" s="23"/>
      <c r="N365" s="23"/>
      <c r="O365" s="23"/>
      <c r="P365" s="23"/>
      <c r="Q365" s="23"/>
      <c r="R365" s="23"/>
      <c r="S365" s="23"/>
      <c r="T365" s="23"/>
      <c r="U365" s="23"/>
      <c r="V365" s="23"/>
      <c r="W365" s="23"/>
      <c r="X365" s="23"/>
      <c r="Y365" s="23"/>
      <c r="Z365" s="23"/>
      <c r="AA365" s="23"/>
      <c r="AB365" s="23"/>
    </row>
    <row r="366" spans="11:28" x14ac:dyDescent="0.2">
      <c r="K366" s="23"/>
      <c r="L366" s="23"/>
      <c r="M366" s="23"/>
      <c r="N366" s="23"/>
      <c r="O366" s="23"/>
      <c r="P366" s="23"/>
      <c r="Q366" s="23"/>
      <c r="R366" s="23"/>
      <c r="S366" s="23"/>
      <c r="T366" s="23"/>
      <c r="U366" s="23"/>
      <c r="V366" s="23"/>
      <c r="W366" s="23"/>
      <c r="X366" s="23"/>
      <c r="Y366" s="23"/>
      <c r="Z366" s="23"/>
      <c r="AA366" s="23"/>
      <c r="AB366" s="23"/>
    </row>
    <row r="367" spans="11:28" x14ac:dyDescent="0.2">
      <c r="K367" s="23"/>
      <c r="L367" s="23"/>
      <c r="M367" s="23"/>
      <c r="N367" s="23"/>
      <c r="O367" s="23"/>
      <c r="P367" s="23"/>
      <c r="Q367" s="23"/>
      <c r="R367" s="23"/>
      <c r="S367" s="23"/>
      <c r="T367" s="23"/>
      <c r="U367" s="23"/>
      <c r="V367" s="23"/>
      <c r="W367" s="23"/>
      <c r="X367" s="23"/>
      <c r="Y367" s="23"/>
      <c r="Z367" s="23"/>
      <c r="AA367" s="23"/>
      <c r="AB367" s="23"/>
    </row>
    <row r="368" spans="11:28" x14ac:dyDescent="0.2">
      <c r="K368" s="23"/>
      <c r="L368" s="23"/>
      <c r="M368" s="23"/>
      <c r="N368" s="23"/>
      <c r="O368" s="23"/>
      <c r="P368" s="23"/>
      <c r="Q368" s="23"/>
      <c r="R368" s="23"/>
      <c r="S368" s="23"/>
      <c r="T368" s="23"/>
      <c r="U368" s="23"/>
      <c r="V368" s="23"/>
      <c r="W368" s="23"/>
      <c r="X368" s="23"/>
      <c r="Y368" s="23"/>
      <c r="Z368" s="23"/>
      <c r="AA368" s="23"/>
      <c r="AB368" s="23"/>
    </row>
    <row r="369" spans="11:28" x14ac:dyDescent="0.2">
      <c r="K369" s="23"/>
      <c r="L369" s="23"/>
      <c r="M369" s="23"/>
      <c r="N369" s="23"/>
      <c r="O369" s="23"/>
      <c r="P369" s="23"/>
      <c r="Q369" s="23"/>
      <c r="R369" s="23"/>
      <c r="S369" s="23"/>
      <c r="T369" s="23"/>
      <c r="U369" s="23"/>
      <c r="V369" s="23"/>
      <c r="W369" s="23"/>
      <c r="X369" s="23"/>
      <c r="Y369" s="23"/>
      <c r="Z369" s="23"/>
      <c r="AA369" s="23"/>
      <c r="AB369" s="23"/>
    </row>
    <row r="370" spans="11:28" x14ac:dyDescent="0.2">
      <c r="K370" s="23"/>
      <c r="L370" s="23"/>
      <c r="M370" s="23"/>
      <c r="N370" s="23"/>
      <c r="O370" s="23"/>
      <c r="P370" s="23"/>
      <c r="Q370" s="23"/>
      <c r="R370" s="23"/>
      <c r="S370" s="23"/>
      <c r="T370" s="23"/>
      <c r="U370" s="23"/>
      <c r="V370" s="23"/>
      <c r="W370" s="23"/>
      <c r="X370" s="23"/>
      <c r="Y370" s="23"/>
      <c r="Z370" s="23"/>
      <c r="AA370" s="23"/>
      <c r="AB370" s="23"/>
    </row>
    <row r="371" spans="11:28" x14ac:dyDescent="0.2">
      <c r="K371" s="23"/>
      <c r="L371" s="23"/>
      <c r="M371" s="23"/>
      <c r="N371" s="23"/>
      <c r="O371" s="23"/>
      <c r="P371" s="23"/>
      <c r="Q371" s="23"/>
      <c r="R371" s="23"/>
      <c r="S371" s="23"/>
      <c r="T371" s="23"/>
      <c r="U371" s="23"/>
      <c r="V371" s="23"/>
      <c r="W371" s="23"/>
      <c r="X371" s="23"/>
      <c r="Y371" s="23"/>
      <c r="Z371" s="23"/>
      <c r="AA371" s="23"/>
      <c r="AB371" s="23"/>
    </row>
    <row r="372" spans="11:28" x14ac:dyDescent="0.2">
      <c r="K372" s="23"/>
      <c r="L372" s="23"/>
      <c r="M372" s="23"/>
      <c r="N372" s="23"/>
      <c r="O372" s="23"/>
      <c r="P372" s="23"/>
      <c r="Q372" s="23"/>
      <c r="R372" s="23"/>
      <c r="S372" s="23"/>
      <c r="T372" s="23"/>
      <c r="U372" s="23"/>
      <c r="V372" s="23"/>
      <c r="W372" s="23"/>
      <c r="X372" s="23"/>
      <c r="Y372" s="23"/>
      <c r="Z372" s="23"/>
      <c r="AA372" s="23"/>
      <c r="AB372" s="23"/>
    </row>
    <row r="373" spans="11:28" x14ac:dyDescent="0.2">
      <c r="K373" s="23"/>
      <c r="L373" s="23"/>
      <c r="M373" s="23"/>
      <c r="N373" s="23"/>
      <c r="O373" s="23"/>
      <c r="P373" s="23"/>
      <c r="Q373" s="23"/>
      <c r="R373" s="23"/>
      <c r="S373" s="23"/>
      <c r="T373" s="23"/>
      <c r="U373" s="23"/>
      <c r="V373" s="23"/>
      <c r="W373" s="23"/>
      <c r="X373" s="23"/>
      <c r="Y373" s="23"/>
      <c r="Z373" s="23"/>
      <c r="AA373" s="23"/>
      <c r="AB373" s="23"/>
    </row>
    <row r="374" spans="11:28" x14ac:dyDescent="0.2">
      <c r="K374" s="23"/>
      <c r="L374" s="23"/>
      <c r="M374" s="23"/>
      <c r="N374" s="23"/>
      <c r="O374" s="23"/>
      <c r="P374" s="23"/>
      <c r="Q374" s="23"/>
      <c r="R374" s="23"/>
      <c r="S374" s="23"/>
      <c r="T374" s="23"/>
      <c r="U374" s="23"/>
      <c r="V374" s="23"/>
      <c r="W374" s="23"/>
      <c r="X374" s="23"/>
      <c r="Y374" s="23"/>
      <c r="Z374" s="23"/>
      <c r="AA374" s="23"/>
      <c r="AB374" s="23"/>
    </row>
    <row r="375" spans="11:28" x14ac:dyDescent="0.2">
      <c r="K375" s="23"/>
      <c r="L375" s="23"/>
      <c r="M375" s="23"/>
      <c r="N375" s="23"/>
      <c r="O375" s="23"/>
      <c r="P375" s="23"/>
      <c r="Q375" s="23"/>
      <c r="R375" s="23"/>
      <c r="S375" s="23"/>
      <c r="T375" s="23"/>
      <c r="U375" s="23"/>
      <c r="V375" s="23"/>
      <c r="W375" s="23"/>
      <c r="X375" s="23"/>
      <c r="Y375" s="23"/>
      <c r="Z375" s="23"/>
      <c r="AA375" s="23"/>
      <c r="AB375" s="23"/>
    </row>
    <row r="376" spans="11:28" x14ac:dyDescent="0.2">
      <c r="K376" s="23"/>
      <c r="L376" s="23"/>
      <c r="M376" s="23"/>
      <c r="N376" s="23"/>
      <c r="O376" s="23"/>
      <c r="P376" s="23"/>
      <c r="Q376" s="23"/>
      <c r="R376" s="23"/>
      <c r="S376" s="23"/>
      <c r="T376" s="23"/>
      <c r="U376" s="23"/>
      <c r="V376" s="23"/>
      <c r="W376" s="23"/>
      <c r="X376" s="23"/>
      <c r="Y376" s="23"/>
      <c r="Z376" s="23"/>
      <c r="AA376" s="23"/>
      <c r="AB376" s="23"/>
    </row>
    <row r="377" spans="11:28" x14ac:dyDescent="0.2">
      <c r="K377" s="23"/>
      <c r="L377" s="23"/>
      <c r="M377" s="23"/>
      <c r="N377" s="23"/>
      <c r="O377" s="23"/>
      <c r="P377" s="23"/>
      <c r="Q377" s="23"/>
      <c r="R377" s="23"/>
      <c r="S377" s="23"/>
      <c r="T377" s="23"/>
      <c r="U377" s="23"/>
      <c r="V377" s="23"/>
      <c r="W377" s="23"/>
      <c r="X377" s="23"/>
      <c r="Y377" s="23"/>
      <c r="Z377" s="23"/>
      <c r="AA377" s="23"/>
      <c r="AB377" s="23"/>
    </row>
    <row r="378" spans="11:28" x14ac:dyDescent="0.2">
      <c r="K378" s="23"/>
      <c r="L378" s="23"/>
      <c r="M378" s="23"/>
      <c r="N378" s="23"/>
      <c r="O378" s="23"/>
      <c r="P378" s="23"/>
      <c r="Q378" s="23"/>
      <c r="R378" s="23"/>
      <c r="S378" s="23"/>
      <c r="T378" s="23"/>
      <c r="U378" s="23"/>
      <c r="V378" s="23"/>
      <c r="W378" s="23"/>
      <c r="X378" s="23"/>
      <c r="Y378" s="23"/>
      <c r="Z378" s="23"/>
      <c r="AA378" s="23"/>
      <c r="AB378" s="23"/>
    </row>
    <row r="379" spans="11:28" x14ac:dyDescent="0.2">
      <c r="K379" s="23"/>
      <c r="L379" s="23"/>
      <c r="M379" s="23"/>
      <c r="N379" s="23"/>
      <c r="O379" s="23"/>
      <c r="P379" s="23"/>
      <c r="Q379" s="23"/>
      <c r="R379" s="23"/>
      <c r="S379" s="23"/>
      <c r="T379" s="23"/>
      <c r="U379" s="23"/>
      <c r="V379" s="23"/>
      <c r="W379" s="23"/>
      <c r="X379" s="23"/>
      <c r="Y379" s="23"/>
      <c r="Z379" s="23"/>
      <c r="AA379" s="23"/>
      <c r="AB379" s="23"/>
    </row>
    <row r="380" spans="11:28" x14ac:dyDescent="0.2">
      <c r="K380" s="23"/>
      <c r="L380" s="23"/>
      <c r="M380" s="23"/>
      <c r="N380" s="23"/>
      <c r="O380" s="23"/>
      <c r="P380" s="23"/>
      <c r="Q380" s="23"/>
      <c r="R380" s="23"/>
      <c r="S380" s="23"/>
      <c r="T380" s="23"/>
      <c r="U380" s="23"/>
      <c r="V380" s="23"/>
      <c r="W380" s="23"/>
      <c r="X380" s="23"/>
      <c r="Y380" s="23"/>
      <c r="Z380" s="23"/>
      <c r="AA380" s="23"/>
      <c r="AB380" s="23"/>
    </row>
    <row r="381" spans="11:28" x14ac:dyDescent="0.2">
      <c r="K381" s="23"/>
      <c r="L381" s="23"/>
      <c r="M381" s="23"/>
      <c r="N381" s="23"/>
      <c r="O381" s="23"/>
      <c r="P381" s="23"/>
      <c r="Q381" s="23"/>
      <c r="R381" s="23"/>
      <c r="S381" s="23"/>
      <c r="T381" s="23"/>
      <c r="U381" s="23"/>
      <c r="V381" s="23"/>
      <c r="W381" s="23"/>
      <c r="X381" s="23"/>
      <c r="Y381" s="23"/>
      <c r="Z381" s="23"/>
      <c r="AA381" s="23"/>
      <c r="AB381" s="23"/>
    </row>
    <row r="382" spans="11:28" x14ac:dyDescent="0.2">
      <c r="K382" s="23"/>
      <c r="L382" s="23"/>
      <c r="M382" s="23"/>
      <c r="N382" s="23"/>
      <c r="O382" s="23"/>
      <c r="P382" s="23"/>
      <c r="Q382" s="23"/>
      <c r="R382" s="23"/>
      <c r="S382" s="23"/>
      <c r="T382" s="23"/>
      <c r="U382" s="23"/>
      <c r="V382" s="23"/>
      <c r="W382" s="23"/>
      <c r="X382" s="23"/>
      <c r="Y382" s="23"/>
      <c r="Z382" s="23"/>
      <c r="AA382" s="23"/>
      <c r="AB382" s="23"/>
    </row>
    <row r="383" spans="11:28" x14ac:dyDescent="0.2">
      <c r="K383" s="23"/>
      <c r="L383" s="23"/>
      <c r="M383" s="23"/>
      <c r="N383" s="23"/>
      <c r="O383" s="23"/>
      <c r="P383" s="23"/>
      <c r="Q383" s="23"/>
      <c r="R383" s="23"/>
      <c r="S383" s="23"/>
      <c r="T383" s="23"/>
      <c r="U383" s="23"/>
      <c r="V383" s="23"/>
      <c r="W383" s="23"/>
      <c r="X383" s="23"/>
      <c r="Y383" s="23"/>
      <c r="Z383" s="23"/>
      <c r="AA383" s="23"/>
      <c r="AB383" s="23"/>
    </row>
    <row r="384" spans="11:28" x14ac:dyDescent="0.2">
      <c r="K384" s="23"/>
      <c r="L384" s="23"/>
      <c r="M384" s="23"/>
      <c r="N384" s="23"/>
      <c r="O384" s="23"/>
      <c r="P384" s="23"/>
      <c r="Q384" s="23"/>
      <c r="R384" s="23"/>
      <c r="S384" s="23"/>
      <c r="T384" s="23"/>
      <c r="U384" s="23"/>
      <c r="V384" s="23"/>
      <c r="W384" s="23"/>
      <c r="X384" s="23"/>
      <c r="Y384" s="23"/>
      <c r="Z384" s="23"/>
      <c r="AA384" s="23"/>
      <c r="AB384" s="23"/>
    </row>
    <row r="385" spans="11:28" x14ac:dyDescent="0.2">
      <c r="K385" s="23"/>
      <c r="L385" s="23"/>
      <c r="M385" s="23"/>
      <c r="N385" s="23"/>
      <c r="O385" s="23"/>
      <c r="P385" s="23"/>
      <c r="Q385" s="23"/>
      <c r="R385" s="23"/>
      <c r="S385" s="23"/>
      <c r="T385" s="23"/>
      <c r="U385" s="23"/>
      <c r="V385" s="23"/>
      <c r="W385" s="23"/>
      <c r="X385" s="23"/>
      <c r="Y385" s="23"/>
      <c r="Z385" s="23"/>
      <c r="AA385" s="23"/>
      <c r="AB385" s="23"/>
    </row>
    <row r="386" spans="11:28" x14ac:dyDescent="0.2">
      <c r="K386" s="23"/>
      <c r="L386" s="23"/>
      <c r="M386" s="23"/>
      <c r="N386" s="23"/>
      <c r="O386" s="23"/>
      <c r="P386" s="23"/>
      <c r="Q386" s="23"/>
      <c r="R386" s="23"/>
      <c r="S386" s="23"/>
      <c r="T386" s="23"/>
      <c r="U386" s="23"/>
      <c r="V386" s="23"/>
      <c r="W386" s="23"/>
      <c r="X386" s="23"/>
      <c r="Y386" s="23"/>
      <c r="Z386" s="23"/>
      <c r="AA386" s="23"/>
      <c r="AB386" s="23"/>
    </row>
    <row r="387" spans="11:28" x14ac:dyDescent="0.2">
      <c r="K387" s="23"/>
      <c r="L387" s="23"/>
      <c r="M387" s="23"/>
      <c r="N387" s="23"/>
      <c r="O387" s="23"/>
      <c r="P387" s="23"/>
      <c r="Q387" s="23"/>
      <c r="R387" s="23"/>
      <c r="S387" s="23"/>
      <c r="T387" s="23"/>
      <c r="U387" s="23"/>
      <c r="V387" s="23"/>
      <c r="W387" s="23"/>
      <c r="X387" s="23"/>
      <c r="Y387" s="23"/>
      <c r="Z387" s="23"/>
      <c r="AA387" s="23"/>
      <c r="AB387" s="23"/>
    </row>
    <row r="388" spans="11:28" x14ac:dyDescent="0.2">
      <c r="K388" s="23"/>
      <c r="L388" s="23"/>
      <c r="M388" s="23"/>
      <c r="N388" s="23"/>
      <c r="O388" s="23"/>
      <c r="P388" s="23"/>
      <c r="Q388" s="23"/>
      <c r="R388" s="23"/>
      <c r="S388" s="23"/>
      <c r="T388" s="23"/>
      <c r="U388" s="23"/>
      <c r="V388" s="23"/>
      <c r="W388" s="23"/>
      <c r="X388" s="23"/>
      <c r="Y388" s="23"/>
      <c r="Z388" s="23"/>
      <c r="AA388" s="23"/>
      <c r="AB388" s="23"/>
    </row>
    <row r="389" spans="11:28" x14ac:dyDescent="0.2">
      <c r="K389" s="23"/>
      <c r="L389" s="23"/>
      <c r="M389" s="23"/>
      <c r="N389" s="23"/>
      <c r="O389" s="23"/>
      <c r="P389" s="23"/>
      <c r="Q389" s="23"/>
      <c r="R389" s="23"/>
      <c r="S389" s="23"/>
      <c r="T389" s="23"/>
      <c r="U389" s="23"/>
      <c r="V389" s="23"/>
      <c r="W389" s="23"/>
      <c r="X389" s="23"/>
      <c r="Y389" s="23"/>
      <c r="Z389" s="23"/>
      <c r="AA389" s="23"/>
      <c r="AB389" s="23"/>
    </row>
    <row r="390" spans="11:28" x14ac:dyDescent="0.2">
      <c r="K390" s="23"/>
      <c r="L390" s="23"/>
      <c r="M390" s="23"/>
      <c r="N390" s="23"/>
      <c r="O390" s="23"/>
      <c r="P390" s="23"/>
      <c r="Q390" s="23"/>
      <c r="R390" s="23"/>
      <c r="S390" s="23"/>
      <c r="T390" s="23"/>
      <c r="U390" s="23"/>
      <c r="V390" s="23"/>
      <c r="W390" s="23"/>
      <c r="X390" s="23"/>
      <c r="Y390" s="23"/>
      <c r="Z390" s="23"/>
      <c r="AA390" s="23"/>
      <c r="AB390" s="23"/>
    </row>
    <row r="391" spans="11:28" x14ac:dyDescent="0.2">
      <c r="K391" s="23"/>
      <c r="L391" s="23"/>
      <c r="M391" s="23"/>
      <c r="N391" s="23"/>
      <c r="O391" s="23"/>
      <c r="P391" s="23"/>
      <c r="Q391" s="23"/>
      <c r="R391" s="23"/>
      <c r="S391" s="23"/>
      <c r="T391" s="23"/>
      <c r="U391" s="23"/>
      <c r="V391" s="23"/>
      <c r="W391" s="23"/>
      <c r="X391" s="23"/>
      <c r="Y391" s="23"/>
      <c r="Z391" s="23"/>
      <c r="AA391" s="23"/>
      <c r="AB391" s="23"/>
    </row>
    <row r="392" spans="11:28" x14ac:dyDescent="0.2">
      <c r="K392" s="23"/>
      <c r="L392" s="23"/>
      <c r="M392" s="23"/>
      <c r="N392" s="23"/>
      <c r="O392" s="23"/>
      <c r="P392" s="23"/>
      <c r="Q392" s="23"/>
      <c r="R392" s="23"/>
      <c r="S392" s="23"/>
      <c r="T392" s="23"/>
      <c r="U392" s="23"/>
      <c r="V392" s="23"/>
      <c r="W392" s="23"/>
      <c r="X392" s="23"/>
      <c r="Y392" s="23"/>
      <c r="Z392" s="23"/>
      <c r="AA392" s="23"/>
      <c r="AB392" s="23"/>
    </row>
    <row r="393" spans="11:28" x14ac:dyDescent="0.2">
      <c r="K393" s="23"/>
      <c r="L393" s="23"/>
      <c r="M393" s="23"/>
      <c r="N393" s="23"/>
      <c r="O393" s="23"/>
      <c r="P393" s="23"/>
      <c r="Q393" s="23"/>
      <c r="R393" s="23"/>
      <c r="S393" s="23"/>
      <c r="T393" s="23"/>
      <c r="U393" s="23"/>
      <c r="V393" s="23"/>
      <c r="W393" s="23"/>
      <c r="X393" s="23"/>
      <c r="Y393" s="23"/>
      <c r="Z393" s="23"/>
      <c r="AA393" s="23"/>
      <c r="AB393" s="23"/>
    </row>
    <row r="394" spans="11:28" x14ac:dyDescent="0.2">
      <c r="K394" s="23"/>
      <c r="L394" s="23"/>
      <c r="M394" s="23"/>
      <c r="N394" s="23"/>
      <c r="O394" s="23"/>
      <c r="P394" s="23"/>
      <c r="Q394" s="23"/>
      <c r="R394" s="23"/>
      <c r="S394" s="23"/>
      <c r="T394" s="23"/>
      <c r="U394" s="23"/>
      <c r="V394" s="23"/>
      <c r="W394" s="23"/>
      <c r="X394" s="23"/>
      <c r="Y394" s="23"/>
      <c r="Z394" s="23"/>
      <c r="AA394" s="23"/>
      <c r="AB394" s="23"/>
    </row>
    <row r="395" spans="11:28" x14ac:dyDescent="0.2">
      <c r="K395" s="23"/>
      <c r="L395" s="23"/>
      <c r="M395" s="23"/>
      <c r="N395" s="23"/>
      <c r="O395" s="23"/>
      <c r="P395" s="23"/>
      <c r="Q395" s="23"/>
      <c r="R395" s="23"/>
      <c r="S395" s="23"/>
      <c r="T395" s="23"/>
      <c r="U395" s="23"/>
      <c r="V395" s="23"/>
      <c r="W395" s="23"/>
      <c r="X395" s="23"/>
      <c r="Y395" s="23"/>
      <c r="Z395" s="23"/>
      <c r="AA395" s="23"/>
      <c r="AB395" s="23"/>
    </row>
    <row r="396" spans="11:28" x14ac:dyDescent="0.2">
      <c r="K396" s="23"/>
      <c r="L396" s="23"/>
      <c r="M396" s="23"/>
      <c r="N396" s="23"/>
      <c r="O396" s="23"/>
      <c r="P396" s="23"/>
      <c r="Q396" s="23"/>
      <c r="R396" s="23"/>
      <c r="S396" s="23"/>
      <c r="T396" s="23"/>
      <c r="U396" s="23"/>
      <c r="V396" s="23"/>
      <c r="W396" s="23"/>
      <c r="X396" s="23"/>
      <c r="Y396" s="23"/>
      <c r="Z396" s="23"/>
      <c r="AA396" s="23"/>
      <c r="AB396" s="23"/>
    </row>
    <row r="397" spans="11:28" x14ac:dyDescent="0.2">
      <c r="K397" s="23"/>
      <c r="L397" s="23"/>
      <c r="M397" s="23"/>
      <c r="N397" s="23"/>
      <c r="O397" s="23"/>
      <c r="P397" s="23"/>
      <c r="Q397" s="23"/>
      <c r="R397" s="23"/>
      <c r="S397" s="23"/>
      <c r="T397" s="23"/>
      <c r="U397" s="23"/>
      <c r="V397" s="23"/>
      <c r="W397" s="23"/>
      <c r="X397" s="23"/>
      <c r="Y397" s="23"/>
      <c r="Z397" s="23"/>
      <c r="AA397" s="23"/>
      <c r="AB397" s="23"/>
    </row>
    <row r="398" spans="11:28" x14ac:dyDescent="0.2">
      <c r="K398" s="23"/>
      <c r="L398" s="23"/>
      <c r="M398" s="23"/>
      <c r="N398" s="23"/>
      <c r="O398" s="23"/>
      <c r="P398" s="23"/>
      <c r="Q398" s="23"/>
      <c r="R398" s="23"/>
      <c r="S398" s="23"/>
      <c r="T398" s="23"/>
      <c r="U398" s="23"/>
      <c r="V398" s="23"/>
      <c r="W398" s="23"/>
      <c r="X398" s="23"/>
      <c r="Y398" s="23"/>
      <c r="Z398" s="23"/>
      <c r="AA398" s="23"/>
      <c r="AB398" s="23"/>
    </row>
    <row r="399" spans="11:28" x14ac:dyDescent="0.2">
      <c r="K399" s="23"/>
      <c r="L399" s="23"/>
      <c r="M399" s="23"/>
      <c r="N399" s="23"/>
      <c r="O399" s="23"/>
      <c r="P399" s="23"/>
      <c r="Q399" s="23"/>
      <c r="R399" s="23"/>
      <c r="S399" s="23"/>
      <c r="T399" s="23"/>
      <c r="U399" s="23"/>
      <c r="V399" s="23"/>
      <c r="W399" s="23"/>
      <c r="X399" s="23"/>
      <c r="Y399" s="23"/>
      <c r="Z399" s="23"/>
      <c r="AA399" s="23"/>
      <c r="AB399" s="23"/>
    </row>
    <row r="400" spans="11:28" x14ac:dyDescent="0.2">
      <c r="K400" s="23"/>
      <c r="L400" s="23"/>
      <c r="M400" s="23"/>
      <c r="N400" s="23"/>
      <c r="O400" s="23"/>
      <c r="P400" s="23"/>
      <c r="Q400" s="23"/>
      <c r="R400" s="23"/>
      <c r="S400" s="23"/>
      <c r="T400" s="23"/>
      <c r="U400" s="23"/>
      <c r="V400" s="23"/>
      <c r="W400" s="23"/>
      <c r="X400" s="23"/>
      <c r="Y400" s="23"/>
      <c r="Z400" s="23"/>
      <c r="AA400" s="23"/>
      <c r="AB400" s="23"/>
    </row>
    <row r="401" spans="11:28" x14ac:dyDescent="0.2">
      <c r="K401" s="23"/>
      <c r="L401" s="23"/>
      <c r="M401" s="23"/>
      <c r="N401" s="23"/>
      <c r="O401" s="23"/>
      <c r="P401" s="23"/>
      <c r="Q401" s="23"/>
      <c r="R401" s="23"/>
      <c r="S401" s="23"/>
      <c r="T401" s="23"/>
      <c r="U401" s="23"/>
      <c r="V401" s="23"/>
      <c r="W401" s="23"/>
      <c r="X401" s="23"/>
      <c r="Y401" s="23"/>
      <c r="Z401" s="23"/>
      <c r="AA401" s="23"/>
      <c r="AB401" s="23"/>
    </row>
    <row r="402" spans="11:28" x14ac:dyDescent="0.2">
      <c r="K402" s="23"/>
      <c r="L402" s="23"/>
      <c r="M402" s="23"/>
      <c r="N402" s="23"/>
      <c r="O402" s="23"/>
      <c r="P402" s="23"/>
      <c r="Q402" s="23"/>
      <c r="R402" s="23"/>
      <c r="S402" s="23"/>
      <c r="T402" s="23"/>
      <c r="U402" s="23"/>
      <c r="V402" s="23"/>
      <c r="W402" s="23"/>
      <c r="X402" s="23"/>
      <c r="Y402" s="23"/>
      <c r="Z402" s="23"/>
      <c r="AA402" s="23"/>
      <c r="AB402" s="23"/>
    </row>
    <row r="403" spans="11:28" x14ac:dyDescent="0.2">
      <c r="K403" s="23"/>
      <c r="L403" s="23"/>
      <c r="M403" s="23"/>
      <c r="N403" s="23"/>
      <c r="O403" s="23"/>
      <c r="P403" s="23"/>
      <c r="Q403" s="23"/>
      <c r="R403" s="23"/>
      <c r="S403" s="23"/>
      <c r="T403" s="23"/>
      <c r="U403" s="23"/>
      <c r="V403" s="23"/>
      <c r="W403" s="23"/>
      <c r="X403" s="23"/>
      <c r="Y403" s="23"/>
      <c r="Z403" s="23"/>
      <c r="AA403" s="23"/>
      <c r="AB403" s="23"/>
    </row>
    <row r="404" spans="11:28" x14ac:dyDescent="0.2">
      <c r="K404" s="23"/>
      <c r="L404" s="23"/>
      <c r="M404" s="23"/>
      <c r="N404" s="23"/>
      <c r="O404" s="23"/>
      <c r="P404" s="23"/>
      <c r="Q404" s="23"/>
      <c r="R404" s="23"/>
      <c r="S404" s="23"/>
      <c r="T404" s="23"/>
      <c r="U404" s="23"/>
      <c r="V404" s="23"/>
      <c r="W404" s="23"/>
      <c r="X404" s="23"/>
      <c r="Y404" s="23"/>
      <c r="Z404" s="23"/>
      <c r="AA404" s="23"/>
      <c r="AB404" s="23"/>
    </row>
    <row r="405" spans="11:28" x14ac:dyDescent="0.2">
      <c r="K405" s="23"/>
      <c r="L405" s="23"/>
      <c r="M405" s="23"/>
      <c r="N405" s="23"/>
      <c r="O405" s="23"/>
      <c r="P405" s="23"/>
      <c r="Q405" s="23"/>
      <c r="R405" s="23"/>
      <c r="S405" s="23"/>
      <c r="T405" s="23"/>
      <c r="U405" s="23"/>
      <c r="V405" s="23"/>
      <c r="W405" s="23"/>
      <c r="X405" s="23"/>
      <c r="Y405" s="23"/>
      <c r="Z405" s="23"/>
      <c r="AA405" s="23"/>
      <c r="AB405" s="23"/>
    </row>
    <row r="406" spans="11:28" x14ac:dyDescent="0.2">
      <c r="K406" s="23"/>
      <c r="L406" s="23"/>
      <c r="M406" s="23"/>
      <c r="N406" s="23"/>
      <c r="O406" s="23"/>
      <c r="P406" s="23"/>
      <c r="Q406" s="23"/>
      <c r="R406" s="23"/>
      <c r="S406" s="23"/>
      <c r="T406" s="23"/>
      <c r="U406" s="23"/>
      <c r="V406" s="23"/>
      <c r="W406" s="23"/>
      <c r="X406" s="23"/>
      <c r="Y406" s="23"/>
      <c r="Z406" s="23"/>
      <c r="AA406" s="23"/>
      <c r="AB406" s="23"/>
    </row>
    <row r="407" spans="11:28" x14ac:dyDescent="0.2">
      <c r="K407" s="23"/>
      <c r="L407" s="23"/>
      <c r="M407" s="23"/>
      <c r="N407" s="23"/>
      <c r="O407" s="23"/>
      <c r="P407" s="23"/>
      <c r="Q407" s="23"/>
      <c r="R407" s="23"/>
      <c r="S407" s="23"/>
      <c r="T407" s="23"/>
      <c r="U407" s="23"/>
      <c r="V407" s="23"/>
      <c r="W407" s="23"/>
      <c r="X407" s="23"/>
      <c r="Y407" s="23"/>
      <c r="Z407" s="23"/>
      <c r="AA407" s="23"/>
      <c r="AB407" s="23"/>
    </row>
    <row r="408" spans="11:28" x14ac:dyDescent="0.2">
      <c r="K408" s="23"/>
      <c r="L408" s="23"/>
      <c r="M408" s="23"/>
      <c r="N408" s="23"/>
      <c r="O408" s="23"/>
      <c r="P408" s="23"/>
      <c r="Q408" s="23"/>
      <c r="R408" s="23"/>
      <c r="S408" s="23"/>
      <c r="T408" s="23"/>
      <c r="U408" s="23"/>
      <c r="V408" s="23"/>
      <c r="W408" s="23"/>
      <c r="X408" s="23"/>
      <c r="Y408" s="23"/>
      <c r="Z408" s="23"/>
      <c r="AA408" s="23"/>
      <c r="AB408" s="23"/>
    </row>
    <row r="409" spans="11:28" x14ac:dyDescent="0.2">
      <c r="K409" s="23"/>
      <c r="L409" s="23"/>
      <c r="M409" s="23"/>
      <c r="N409" s="23"/>
      <c r="O409" s="23"/>
      <c r="P409" s="23"/>
      <c r="Q409" s="23"/>
      <c r="R409" s="23"/>
      <c r="S409" s="23"/>
      <c r="T409" s="23"/>
      <c r="U409" s="23"/>
      <c r="V409" s="23"/>
      <c r="W409" s="23"/>
      <c r="X409" s="23"/>
      <c r="Y409" s="23"/>
      <c r="Z409" s="23"/>
      <c r="AA409" s="23"/>
      <c r="AB409" s="23"/>
    </row>
    <row r="410" spans="11:28" x14ac:dyDescent="0.2">
      <c r="K410" s="23"/>
      <c r="L410" s="23"/>
      <c r="M410" s="23"/>
      <c r="N410" s="23"/>
      <c r="O410" s="23"/>
      <c r="P410" s="23"/>
      <c r="Q410" s="23"/>
      <c r="R410" s="23"/>
      <c r="S410" s="23"/>
      <c r="T410" s="23"/>
      <c r="U410" s="23"/>
      <c r="V410" s="23"/>
      <c r="W410" s="23"/>
      <c r="X410" s="23"/>
      <c r="Y410" s="23"/>
      <c r="Z410" s="23"/>
      <c r="AA410" s="23"/>
      <c r="AB410" s="23"/>
    </row>
    <row r="411" spans="11:28" x14ac:dyDescent="0.2">
      <c r="K411" s="23"/>
      <c r="L411" s="23"/>
      <c r="M411" s="23"/>
      <c r="N411" s="23"/>
      <c r="O411" s="23"/>
      <c r="P411" s="23"/>
      <c r="Q411" s="23"/>
      <c r="R411" s="23"/>
      <c r="S411" s="23"/>
      <c r="T411" s="23"/>
      <c r="U411" s="23"/>
      <c r="V411" s="23"/>
      <c r="W411" s="23"/>
      <c r="X411" s="23"/>
      <c r="Y411" s="23"/>
      <c r="Z411" s="23"/>
      <c r="AA411" s="23"/>
      <c r="AB411" s="23"/>
    </row>
    <row r="412" spans="11:28" x14ac:dyDescent="0.2">
      <c r="K412" s="23"/>
      <c r="L412" s="23"/>
      <c r="M412" s="23"/>
      <c r="N412" s="23"/>
      <c r="O412" s="23"/>
      <c r="P412" s="23"/>
      <c r="Q412" s="23"/>
      <c r="R412" s="23"/>
      <c r="S412" s="23"/>
      <c r="T412" s="23"/>
      <c r="U412" s="23"/>
      <c r="V412" s="23"/>
      <c r="W412" s="23"/>
      <c r="X412" s="23"/>
      <c r="Y412" s="23"/>
      <c r="Z412" s="23"/>
      <c r="AA412" s="23"/>
      <c r="AB412" s="23"/>
    </row>
    <row r="413" spans="11:28" x14ac:dyDescent="0.2">
      <c r="K413" s="23"/>
      <c r="L413" s="23"/>
      <c r="M413" s="23"/>
      <c r="N413" s="23"/>
      <c r="O413" s="23"/>
      <c r="P413" s="23"/>
      <c r="Q413" s="23"/>
      <c r="R413" s="23"/>
      <c r="S413" s="23"/>
      <c r="T413" s="23"/>
      <c r="U413" s="23"/>
      <c r="V413" s="23"/>
      <c r="W413" s="23"/>
      <c r="X413" s="23"/>
      <c r="Y413" s="23"/>
      <c r="Z413" s="23"/>
      <c r="AA413" s="23"/>
      <c r="AB413" s="23"/>
    </row>
    <row r="414" spans="11:28" x14ac:dyDescent="0.2">
      <c r="K414" s="23"/>
      <c r="L414" s="23"/>
      <c r="M414" s="23"/>
      <c r="N414" s="23"/>
      <c r="O414" s="23"/>
      <c r="P414" s="23"/>
      <c r="Q414" s="23"/>
      <c r="R414" s="23"/>
      <c r="S414" s="23"/>
      <c r="T414" s="23"/>
      <c r="U414" s="23"/>
      <c r="V414" s="23"/>
      <c r="W414" s="23"/>
      <c r="X414" s="23"/>
      <c r="Y414" s="23"/>
      <c r="Z414" s="23"/>
      <c r="AA414" s="23"/>
      <c r="AB414" s="23"/>
    </row>
    <row r="415" spans="11:28" x14ac:dyDescent="0.2">
      <c r="K415" s="23"/>
      <c r="L415" s="23"/>
      <c r="M415" s="23"/>
      <c r="N415" s="23"/>
      <c r="O415" s="23"/>
      <c r="P415" s="23"/>
      <c r="Q415" s="23"/>
      <c r="R415" s="23"/>
      <c r="S415" s="23"/>
      <c r="T415" s="23"/>
      <c r="U415" s="23"/>
      <c r="V415" s="23"/>
      <c r="W415" s="23"/>
      <c r="X415" s="23"/>
      <c r="Y415" s="23"/>
      <c r="Z415" s="23"/>
      <c r="AA415" s="23"/>
      <c r="AB415" s="23"/>
    </row>
    <row r="416" spans="11:28" x14ac:dyDescent="0.2">
      <c r="K416" s="23"/>
      <c r="L416" s="23"/>
      <c r="M416" s="23"/>
      <c r="N416" s="23"/>
      <c r="O416" s="23"/>
      <c r="P416" s="23"/>
      <c r="Q416" s="23"/>
      <c r="R416" s="23"/>
      <c r="S416" s="23"/>
      <c r="T416" s="23"/>
      <c r="U416" s="23"/>
      <c r="V416" s="23"/>
      <c r="W416" s="23"/>
      <c r="X416" s="23"/>
      <c r="Y416" s="23"/>
      <c r="Z416" s="23"/>
      <c r="AA416" s="23"/>
      <c r="AB416" s="23"/>
    </row>
    <row r="417" spans="11:28" x14ac:dyDescent="0.2">
      <c r="K417" s="23"/>
      <c r="L417" s="23"/>
      <c r="M417" s="23"/>
      <c r="N417" s="23"/>
      <c r="O417" s="23"/>
      <c r="P417" s="23"/>
      <c r="Q417" s="23"/>
      <c r="R417" s="23"/>
      <c r="S417" s="23"/>
      <c r="T417" s="23"/>
      <c r="U417" s="23"/>
      <c r="V417" s="23"/>
      <c r="W417" s="23"/>
      <c r="X417" s="23"/>
      <c r="Y417" s="23"/>
      <c r="Z417" s="23"/>
      <c r="AA417" s="23"/>
      <c r="AB417" s="23"/>
    </row>
    <row r="418" spans="11:28" x14ac:dyDescent="0.2">
      <c r="K418" s="23"/>
      <c r="L418" s="23"/>
      <c r="M418" s="23"/>
      <c r="N418" s="23"/>
      <c r="O418" s="23"/>
      <c r="P418" s="23"/>
      <c r="Q418" s="23"/>
      <c r="R418" s="23"/>
      <c r="S418" s="23"/>
      <c r="T418" s="23"/>
      <c r="U418" s="23"/>
      <c r="V418" s="23"/>
      <c r="W418" s="23"/>
      <c r="X418" s="23"/>
      <c r="Y418" s="23"/>
      <c r="Z418" s="23"/>
      <c r="AA418" s="23"/>
      <c r="AB418" s="23"/>
    </row>
    <row r="419" spans="11:28" x14ac:dyDescent="0.2">
      <c r="K419" s="23"/>
      <c r="L419" s="23"/>
      <c r="M419" s="23"/>
      <c r="N419" s="23"/>
      <c r="O419" s="23"/>
      <c r="P419" s="23"/>
      <c r="Q419" s="23"/>
      <c r="R419" s="23"/>
      <c r="S419" s="23"/>
      <c r="T419" s="23"/>
      <c r="U419" s="23"/>
      <c r="V419" s="23"/>
      <c r="W419" s="23"/>
      <c r="X419" s="23"/>
      <c r="Y419" s="23"/>
      <c r="Z419" s="23"/>
      <c r="AA419" s="23"/>
      <c r="AB419" s="23"/>
    </row>
    <row r="420" spans="11:28" x14ac:dyDescent="0.2">
      <c r="K420" s="23"/>
      <c r="L420" s="23"/>
      <c r="M420" s="23"/>
      <c r="N420" s="23"/>
      <c r="O420" s="23"/>
      <c r="P420" s="23"/>
      <c r="Q420" s="23"/>
      <c r="R420" s="23"/>
      <c r="S420" s="23"/>
      <c r="T420" s="23"/>
      <c r="U420" s="23"/>
      <c r="V420" s="23"/>
      <c r="W420" s="23"/>
      <c r="X420" s="23"/>
      <c r="Y420" s="23"/>
      <c r="Z420" s="23"/>
      <c r="AA420" s="23"/>
      <c r="AB420" s="23"/>
    </row>
    <row r="421" spans="11:28" x14ac:dyDescent="0.2">
      <c r="K421" s="23"/>
      <c r="L421" s="23"/>
      <c r="M421" s="23"/>
      <c r="N421" s="23"/>
      <c r="O421" s="23"/>
      <c r="P421" s="23"/>
      <c r="Q421" s="23"/>
      <c r="R421" s="23"/>
      <c r="S421" s="23"/>
      <c r="T421" s="23"/>
      <c r="U421" s="23"/>
      <c r="V421" s="23"/>
      <c r="W421" s="23"/>
      <c r="X421" s="23"/>
      <c r="Y421" s="23"/>
      <c r="Z421" s="23"/>
      <c r="AA421" s="23"/>
      <c r="AB421" s="23"/>
    </row>
    <row r="422" spans="11:28" x14ac:dyDescent="0.2">
      <c r="K422" s="23"/>
      <c r="L422" s="23"/>
      <c r="M422" s="23"/>
      <c r="N422" s="23"/>
      <c r="O422" s="23"/>
      <c r="P422" s="23"/>
      <c r="Q422" s="23"/>
      <c r="R422" s="23"/>
      <c r="S422" s="23"/>
      <c r="T422" s="23"/>
      <c r="U422" s="23"/>
      <c r="V422" s="23"/>
      <c r="W422" s="23"/>
      <c r="X422" s="23"/>
      <c r="Y422" s="23"/>
      <c r="Z422" s="23"/>
      <c r="AA422" s="23"/>
      <c r="AB422" s="23"/>
    </row>
    <row r="423" spans="11:28" x14ac:dyDescent="0.2">
      <c r="K423" s="23"/>
      <c r="L423" s="23"/>
      <c r="M423" s="23"/>
      <c r="N423" s="23"/>
      <c r="O423" s="23"/>
      <c r="P423" s="23"/>
      <c r="Q423" s="23"/>
      <c r="R423" s="23"/>
      <c r="S423" s="23"/>
      <c r="T423" s="23"/>
      <c r="U423" s="23"/>
      <c r="V423" s="23"/>
      <c r="W423" s="23"/>
      <c r="X423" s="23"/>
      <c r="Y423" s="23"/>
      <c r="Z423" s="23"/>
      <c r="AA423" s="23"/>
      <c r="AB423" s="23"/>
    </row>
    <row r="424" spans="11:28" x14ac:dyDescent="0.2">
      <c r="K424" s="23"/>
      <c r="L424" s="23"/>
      <c r="M424" s="23"/>
      <c r="N424" s="23"/>
      <c r="O424" s="23"/>
      <c r="P424" s="23"/>
      <c r="Q424" s="23"/>
      <c r="R424" s="23"/>
      <c r="S424" s="23"/>
      <c r="T424" s="23"/>
      <c r="U424" s="23"/>
      <c r="V424" s="23"/>
      <c r="W424" s="23"/>
      <c r="X424" s="23"/>
      <c r="Y424" s="23"/>
      <c r="Z424" s="23"/>
      <c r="AA424" s="23"/>
      <c r="AB424" s="23"/>
    </row>
    <row r="425" spans="11:28" x14ac:dyDescent="0.2">
      <c r="K425" s="23"/>
      <c r="L425" s="23"/>
      <c r="M425" s="23"/>
      <c r="N425" s="23"/>
      <c r="O425" s="23"/>
      <c r="P425" s="23"/>
      <c r="Q425" s="23"/>
      <c r="R425" s="23"/>
      <c r="S425" s="23"/>
      <c r="T425" s="23"/>
      <c r="U425" s="23"/>
      <c r="V425" s="23"/>
      <c r="W425" s="23"/>
      <c r="X425" s="23"/>
      <c r="Y425" s="23"/>
      <c r="Z425" s="23"/>
      <c r="AA425" s="23"/>
      <c r="AB425" s="23"/>
    </row>
    <row r="426" spans="11:28" x14ac:dyDescent="0.2">
      <c r="K426" s="23"/>
      <c r="L426" s="23"/>
      <c r="M426" s="23"/>
      <c r="N426" s="23"/>
      <c r="O426" s="23"/>
      <c r="P426" s="23"/>
      <c r="Q426" s="23"/>
      <c r="R426" s="23"/>
      <c r="S426" s="23"/>
      <c r="T426" s="23"/>
      <c r="U426" s="23"/>
      <c r="V426" s="23"/>
      <c r="W426" s="23"/>
      <c r="X426" s="23"/>
      <c r="Y426" s="23"/>
      <c r="Z426" s="23"/>
      <c r="AA426" s="23"/>
      <c r="AB426" s="23"/>
    </row>
    <row r="427" spans="11:28" x14ac:dyDescent="0.2">
      <c r="K427" s="23"/>
      <c r="L427" s="23"/>
      <c r="M427" s="23"/>
      <c r="N427" s="23"/>
      <c r="O427" s="23"/>
      <c r="P427" s="23"/>
      <c r="Q427" s="23"/>
      <c r="R427" s="23"/>
      <c r="S427" s="23"/>
      <c r="T427" s="23"/>
      <c r="U427" s="23"/>
      <c r="V427" s="23"/>
      <c r="W427" s="23"/>
      <c r="X427" s="23"/>
      <c r="Y427" s="23"/>
      <c r="Z427" s="23"/>
      <c r="AA427" s="23"/>
      <c r="AB427" s="23"/>
    </row>
    <row r="428" spans="11:28" x14ac:dyDescent="0.2">
      <c r="K428" s="23"/>
      <c r="L428" s="23"/>
      <c r="M428" s="23"/>
      <c r="N428" s="23"/>
      <c r="O428" s="23"/>
      <c r="P428" s="23"/>
      <c r="Q428" s="23"/>
      <c r="R428" s="23"/>
      <c r="S428" s="23"/>
      <c r="T428" s="23"/>
      <c r="U428" s="23"/>
      <c r="V428" s="23"/>
      <c r="W428" s="23"/>
      <c r="X428" s="23"/>
      <c r="Y428" s="23"/>
      <c r="Z428" s="23"/>
      <c r="AA428" s="23"/>
      <c r="AB428" s="23"/>
    </row>
    <row r="429" spans="11:28" x14ac:dyDescent="0.2">
      <c r="K429" s="23"/>
      <c r="L429" s="23"/>
      <c r="M429" s="23"/>
      <c r="N429" s="23"/>
      <c r="O429" s="23"/>
      <c r="P429" s="23"/>
      <c r="Q429" s="23"/>
      <c r="R429" s="23"/>
      <c r="S429" s="23"/>
      <c r="T429" s="23"/>
      <c r="U429" s="23"/>
      <c r="V429" s="23"/>
      <c r="W429" s="23"/>
      <c r="X429" s="23"/>
      <c r="Y429" s="23"/>
      <c r="Z429" s="23"/>
      <c r="AA429" s="23"/>
      <c r="AB429" s="23"/>
    </row>
    <row r="430" spans="11:28" x14ac:dyDescent="0.2">
      <c r="K430" s="23"/>
      <c r="L430" s="23"/>
      <c r="M430" s="23"/>
      <c r="N430" s="23"/>
      <c r="O430" s="23"/>
      <c r="P430" s="23"/>
      <c r="Q430" s="23"/>
      <c r="R430" s="23"/>
      <c r="S430" s="23"/>
      <c r="T430" s="23"/>
      <c r="U430" s="23"/>
      <c r="V430" s="23"/>
      <c r="W430" s="23"/>
      <c r="X430" s="23"/>
      <c r="Y430" s="23"/>
      <c r="Z430" s="23"/>
      <c r="AA430" s="23"/>
      <c r="AB430" s="23"/>
    </row>
    <row r="431" spans="11:28" x14ac:dyDescent="0.2">
      <c r="K431" s="23"/>
      <c r="L431" s="23"/>
      <c r="M431" s="23"/>
      <c r="N431" s="23"/>
      <c r="O431" s="23"/>
      <c r="P431" s="23"/>
      <c r="Q431" s="23"/>
      <c r="R431" s="23"/>
      <c r="S431" s="23"/>
      <c r="T431" s="23"/>
      <c r="U431" s="23"/>
      <c r="V431" s="23"/>
      <c r="W431" s="23"/>
      <c r="X431" s="23"/>
      <c r="Y431" s="23"/>
      <c r="Z431" s="23"/>
      <c r="AA431" s="23"/>
      <c r="AB431" s="23"/>
    </row>
    <row r="432" spans="11:28" x14ac:dyDescent="0.2">
      <c r="K432" s="23"/>
      <c r="L432" s="23"/>
      <c r="M432" s="23"/>
      <c r="N432" s="23"/>
      <c r="O432" s="23"/>
      <c r="P432" s="23"/>
      <c r="Q432" s="23"/>
      <c r="R432" s="23"/>
      <c r="S432" s="23"/>
      <c r="T432" s="23"/>
      <c r="U432" s="23"/>
      <c r="V432" s="23"/>
      <c r="W432" s="23"/>
      <c r="X432" s="23"/>
      <c r="Y432" s="23"/>
      <c r="Z432" s="23"/>
      <c r="AA432" s="23"/>
      <c r="AB432" s="23"/>
    </row>
    <row r="433" spans="11:28" x14ac:dyDescent="0.2">
      <c r="K433" s="23"/>
      <c r="L433" s="23"/>
      <c r="M433" s="23"/>
      <c r="N433" s="23"/>
      <c r="O433" s="23"/>
      <c r="P433" s="23"/>
      <c r="Q433" s="23"/>
      <c r="R433" s="23"/>
      <c r="S433" s="23"/>
      <c r="T433" s="23"/>
      <c r="U433" s="23"/>
      <c r="V433" s="23"/>
      <c r="W433" s="23"/>
      <c r="X433" s="23"/>
      <c r="Y433" s="23"/>
      <c r="Z433" s="23"/>
      <c r="AA433" s="23"/>
      <c r="AB433" s="23"/>
    </row>
    <row r="434" spans="11:28" x14ac:dyDescent="0.2">
      <c r="K434" s="23"/>
      <c r="L434" s="23"/>
      <c r="M434" s="23"/>
      <c r="N434" s="23"/>
      <c r="O434" s="23"/>
      <c r="P434" s="23"/>
      <c r="Q434" s="23"/>
      <c r="R434" s="23"/>
      <c r="S434" s="23"/>
      <c r="T434" s="23"/>
      <c r="U434" s="23"/>
      <c r="V434" s="23"/>
      <c r="W434" s="23"/>
      <c r="X434" s="23"/>
      <c r="Y434" s="23"/>
      <c r="Z434" s="23"/>
      <c r="AA434" s="23"/>
      <c r="AB434" s="23"/>
    </row>
    <row r="435" spans="11:28" x14ac:dyDescent="0.2">
      <c r="K435" s="23"/>
      <c r="L435" s="23"/>
      <c r="M435" s="23"/>
      <c r="N435" s="23"/>
      <c r="O435" s="23"/>
      <c r="P435" s="23"/>
      <c r="Q435" s="23"/>
      <c r="R435" s="23"/>
      <c r="S435" s="23"/>
      <c r="T435" s="23"/>
      <c r="U435" s="23"/>
      <c r="V435" s="23"/>
      <c r="W435" s="23"/>
      <c r="X435" s="23"/>
      <c r="Y435" s="23"/>
      <c r="Z435" s="23"/>
      <c r="AA435" s="23"/>
      <c r="AB435" s="23"/>
    </row>
    <row r="436" spans="11:28" x14ac:dyDescent="0.2">
      <c r="K436" s="23"/>
      <c r="L436" s="23"/>
      <c r="M436" s="23"/>
      <c r="N436" s="23"/>
      <c r="O436" s="23"/>
      <c r="P436" s="23"/>
      <c r="Q436" s="23"/>
      <c r="R436" s="23"/>
      <c r="S436" s="23"/>
      <c r="T436" s="23"/>
      <c r="U436" s="23"/>
      <c r="V436" s="23"/>
      <c r="W436" s="23"/>
      <c r="X436" s="23"/>
      <c r="Y436" s="23"/>
      <c r="Z436" s="23"/>
      <c r="AA436" s="23"/>
      <c r="AB436" s="23"/>
    </row>
    <row r="437" spans="11:28" x14ac:dyDescent="0.2">
      <c r="K437" s="23"/>
      <c r="L437" s="23"/>
      <c r="M437" s="23"/>
      <c r="N437" s="23"/>
      <c r="O437" s="23"/>
      <c r="P437" s="23"/>
      <c r="Q437" s="23"/>
      <c r="R437" s="23"/>
      <c r="S437" s="23"/>
      <c r="T437" s="23"/>
      <c r="U437" s="23"/>
      <c r="V437" s="23"/>
      <c r="W437" s="23"/>
      <c r="X437" s="23"/>
      <c r="Y437" s="23"/>
      <c r="Z437" s="23"/>
      <c r="AA437" s="23"/>
      <c r="AB437" s="23"/>
    </row>
    <row r="438" spans="11:28" x14ac:dyDescent="0.2">
      <c r="K438" s="23"/>
      <c r="L438" s="23"/>
      <c r="M438" s="23"/>
      <c r="N438" s="23"/>
      <c r="O438" s="23"/>
      <c r="P438" s="23"/>
      <c r="Q438" s="23"/>
      <c r="R438" s="23"/>
      <c r="S438" s="23"/>
      <c r="T438" s="23"/>
      <c r="U438" s="23"/>
      <c r="V438" s="23"/>
      <c r="W438" s="23"/>
      <c r="X438" s="23"/>
      <c r="Y438" s="23"/>
      <c r="Z438" s="23"/>
      <c r="AA438" s="23"/>
      <c r="AB438" s="23"/>
    </row>
    <row r="439" spans="11:28" x14ac:dyDescent="0.2">
      <c r="K439" s="23"/>
      <c r="L439" s="23"/>
      <c r="M439" s="23"/>
      <c r="N439" s="23"/>
      <c r="O439" s="23"/>
      <c r="P439" s="23"/>
      <c r="Q439" s="23"/>
      <c r="R439" s="23"/>
      <c r="S439" s="23"/>
      <c r="T439" s="23"/>
      <c r="U439" s="23"/>
      <c r="V439" s="23"/>
      <c r="W439" s="23"/>
      <c r="X439" s="23"/>
      <c r="Y439" s="23"/>
      <c r="Z439" s="23"/>
      <c r="AA439" s="23"/>
      <c r="AB439" s="23"/>
    </row>
    <row r="440" spans="11:28" x14ac:dyDescent="0.2">
      <c r="K440" s="23"/>
      <c r="L440" s="23"/>
      <c r="M440" s="23"/>
      <c r="N440" s="23"/>
      <c r="O440" s="23"/>
      <c r="P440" s="23"/>
      <c r="Q440" s="23"/>
      <c r="R440" s="23"/>
      <c r="S440" s="23"/>
      <c r="T440" s="23"/>
      <c r="U440" s="23"/>
      <c r="V440" s="23"/>
      <c r="W440" s="23"/>
      <c r="X440" s="23"/>
      <c r="Y440" s="23"/>
      <c r="Z440" s="23"/>
      <c r="AA440" s="23"/>
      <c r="AB440" s="23"/>
    </row>
    <row r="441" spans="11:28" x14ac:dyDescent="0.2">
      <c r="K441" s="23"/>
      <c r="L441" s="23"/>
      <c r="M441" s="23"/>
      <c r="N441" s="23"/>
      <c r="O441" s="23"/>
      <c r="P441" s="23"/>
      <c r="Q441" s="23"/>
      <c r="R441" s="23"/>
      <c r="S441" s="23"/>
      <c r="T441" s="23"/>
      <c r="U441" s="23"/>
      <c r="V441" s="23"/>
      <c r="W441" s="23"/>
      <c r="X441" s="23"/>
      <c r="Y441" s="23"/>
      <c r="Z441" s="23"/>
      <c r="AA441" s="23"/>
      <c r="AB441" s="23"/>
    </row>
    <row r="442" spans="11:28" x14ac:dyDescent="0.2">
      <c r="K442" s="23"/>
      <c r="L442" s="23"/>
      <c r="M442" s="23"/>
      <c r="N442" s="23"/>
      <c r="O442" s="23"/>
      <c r="P442" s="23"/>
      <c r="Q442" s="23"/>
      <c r="R442" s="23"/>
      <c r="S442" s="23"/>
      <c r="T442" s="23"/>
      <c r="U442" s="23"/>
      <c r="V442" s="23"/>
      <c r="W442" s="23"/>
      <c r="X442" s="23"/>
      <c r="Y442" s="23"/>
      <c r="Z442" s="23"/>
      <c r="AA442" s="23"/>
      <c r="AB442" s="23"/>
    </row>
    <row r="443" spans="11:28" x14ac:dyDescent="0.2">
      <c r="K443" s="23"/>
      <c r="L443" s="23"/>
      <c r="M443" s="23"/>
      <c r="N443" s="23"/>
      <c r="O443" s="23"/>
      <c r="P443" s="23"/>
      <c r="Q443" s="23"/>
      <c r="R443" s="23"/>
      <c r="S443" s="23"/>
      <c r="T443" s="23"/>
      <c r="U443" s="23"/>
      <c r="V443" s="23"/>
      <c r="W443" s="23"/>
      <c r="X443" s="23"/>
      <c r="Y443" s="23"/>
      <c r="Z443" s="23"/>
      <c r="AA443" s="23"/>
      <c r="AB443" s="23"/>
    </row>
    <row r="444" spans="11:28" x14ac:dyDescent="0.2">
      <c r="K444" s="23"/>
      <c r="L444" s="23"/>
      <c r="M444" s="23"/>
      <c r="N444" s="23"/>
      <c r="O444" s="23"/>
      <c r="P444" s="23"/>
      <c r="Q444" s="23"/>
      <c r="R444" s="23"/>
      <c r="S444" s="23"/>
      <c r="T444" s="23"/>
      <c r="U444" s="23"/>
      <c r="V444" s="23"/>
      <c r="W444" s="23"/>
      <c r="X444" s="23"/>
      <c r="Y444" s="23"/>
      <c r="Z444" s="23"/>
      <c r="AA444" s="23"/>
      <c r="AB444" s="23"/>
    </row>
    <row r="445" spans="11:28" x14ac:dyDescent="0.2">
      <c r="K445" s="23"/>
      <c r="L445" s="23"/>
      <c r="M445" s="23"/>
      <c r="N445" s="23"/>
      <c r="O445" s="23"/>
      <c r="P445" s="23"/>
      <c r="Q445" s="23"/>
      <c r="R445" s="23"/>
      <c r="S445" s="23"/>
      <c r="T445" s="23"/>
      <c r="U445" s="23"/>
      <c r="V445" s="23"/>
      <c r="W445" s="23"/>
      <c r="X445" s="23"/>
      <c r="Y445" s="23"/>
      <c r="Z445" s="23"/>
      <c r="AA445" s="23"/>
      <c r="AB445" s="23"/>
    </row>
    <row r="446" spans="11:28" x14ac:dyDescent="0.2">
      <c r="K446" s="23"/>
      <c r="L446" s="23"/>
      <c r="M446" s="23"/>
      <c r="N446" s="23"/>
      <c r="O446" s="23"/>
      <c r="P446" s="23"/>
      <c r="Q446" s="23"/>
      <c r="R446" s="23"/>
      <c r="S446" s="23"/>
      <c r="T446" s="23"/>
      <c r="U446" s="23"/>
      <c r="V446" s="23"/>
      <c r="W446" s="23"/>
      <c r="X446" s="23"/>
      <c r="Y446" s="23"/>
      <c r="Z446" s="23"/>
      <c r="AA446" s="23"/>
      <c r="AB446" s="23"/>
    </row>
    <row r="447" spans="11:28" x14ac:dyDescent="0.2">
      <c r="K447" s="23"/>
      <c r="L447" s="23"/>
      <c r="M447" s="23"/>
      <c r="N447" s="23"/>
      <c r="O447" s="23"/>
      <c r="P447" s="23"/>
      <c r="Q447" s="23"/>
      <c r="R447" s="23"/>
      <c r="S447" s="23"/>
      <c r="T447" s="23"/>
      <c r="U447" s="23"/>
      <c r="V447" s="23"/>
      <c r="W447" s="23"/>
      <c r="X447" s="23"/>
      <c r="Y447" s="23"/>
      <c r="Z447" s="23"/>
      <c r="AA447" s="23"/>
      <c r="AB447" s="23"/>
    </row>
    <row r="448" spans="11:28" x14ac:dyDescent="0.2">
      <c r="K448" s="23"/>
      <c r="L448" s="23"/>
      <c r="M448" s="23"/>
      <c r="N448" s="23"/>
      <c r="O448" s="23"/>
      <c r="P448" s="23"/>
      <c r="Q448" s="23"/>
      <c r="R448" s="23"/>
      <c r="S448" s="23"/>
      <c r="T448" s="23"/>
      <c r="U448" s="23"/>
      <c r="V448" s="23"/>
      <c r="W448" s="23"/>
      <c r="X448" s="23"/>
      <c r="Y448" s="23"/>
      <c r="Z448" s="23"/>
      <c r="AA448" s="23"/>
      <c r="AB448" s="23"/>
    </row>
    <row r="449" spans="11:28" x14ac:dyDescent="0.2">
      <c r="K449" s="23"/>
      <c r="L449" s="23"/>
      <c r="M449" s="23"/>
      <c r="N449" s="23"/>
      <c r="O449" s="23"/>
      <c r="P449" s="23"/>
      <c r="Q449" s="23"/>
      <c r="R449" s="23"/>
      <c r="S449" s="23"/>
      <c r="T449" s="23"/>
      <c r="U449" s="23"/>
      <c r="V449" s="23"/>
      <c r="W449" s="23"/>
      <c r="X449" s="23"/>
      <c r="Y449" s="23"/>
      <c r="Z449" s="23"/>
      <c r="AA449" s="23"/>
      <c r="AB449" s="23"/>
    </row>
    <row r="450" spans="11:28" x14ac:dyDescent="0.2">
      <c r="K450" s="23"/>
      <c r="L450" s="23"/>
      <c r="M450" s="23"/>
      <c r="N450" s="23"/>
      <c r="O450" s="23"/>
      <c r="P450" s="23"/>
      <c r="Q450" s="23"/>
      <c r="R450" s="23"/>
      <c r="S450" s="23"/>
      <c r="T450" s="23"/>
      <c r="U450" s="23"/>
      <c r="V450" s="23"/>
      <c r="W450" s="23"/>
      <c r="X450" s="23"/>
      <c r="Y450" s="23"/>
      <c r="Z450" s="23"/>
      <c r="AA450" s="23"/>
      <c r="AB450" s="23"/>
    </row>
    <row r="451" spans="11:28" x14ac:dyDescent="0.2">
      <c r="K451" s="23"/>
      <c r="L451" s="23"/>
      <c r="M451" s="23"/>
      <c r="N451" s="23"/>
      <c r="O451" s="23"/>
      <c r="P451" s="23"/>
      <c r="Q451" s="23"/>
      <c r="R451" s="23"/>
      <c r="S451" s="23"/>
      <c r="T451" s="23"/>
      <c r="U451" s="23"/>
      <c r="V451" s="23"/>
      <c r="W451" s="23"/>
      <c r="X451" s="23"/>
      <c r="Y451" s="23"/>
      <c r="Z451" s="23"/>
      <c r="AA451" s="23"/>
      <c r="AB451" s="23"/>
    </row>
    <row r="452" spans="11:28" x14ac:dyDescent="0.2">
      <c r="K452" s="23"/>
      <c r="L452" s="23"/>
      <c r="M452" s="23"/>
      <c r="N452" s="23"/>
      <c r="O452" s="23"/>
      <c r="P452" s="23"/>
      <c r="Q452" s="23"/>
      <c r="R452" s="23"/>
      <c r="S452" s="23"/>
      <c r="T452" s="23"/>
      <c r="U452" s="23"/>
      <c r="V452" s="23"/>
      <c r="W452" s="23"/>
      <c r="X452" s="23"/>
      <c r="Y452" s="23"/>
      <c r="Z452" s="23"/>
      <c r="AA452" s="23"/>
      <c r="AB452" s="23"/>
    </row>
    <row r="453" spans="11:28" x14ac:dyDescent="0.2">
      <c r="K453" s="23"/>
      <c r="L453" s="23"/>
      <c r="M453" s="23"/>
      <c r="N453" s="23"/>
      <c r="O453" s="23"/>
      <c r="P453" s="23"/>
      <c r="Q453" s="23"/>
      <c r="R453" s="23"/>
      <c r="S453" s="23"/>
      <c r="T453" s="23"/>
      <c r="U453" s="23"/>
      <c r="V453" s="23"/>
      <c r="W453" s="23"/>
      <c r="X453" s="23"/>
      <c r="Y453" s="23"/>
      <c r="Z453" s="23"/>
      <c r="AA453" s="23"/>
      <c r="AB453" s="23"/>
    </row>
    <row r="454" spans="11:28" x14ac:dyDescent="0.2">
      <c r="K454" s="23"/>
      <c r="L454" s="23"/>
      <c r="M454" s="23"/>
      <c r="N454" s="23"/>
      <c r="O454" s="23"/>
      <c r="P454" s="23"/>
      <c r="Q454" s="23"/>
      <c r="R454" s="23"/>
      <c r="S454" s="23"/>
      <c r="T454" s="23"/>
      <c r="U454" s="23"/>
      <c r="V454" s="23"/>
      <c r="W454" s="23"/>
      <c r="X454" s="23"/>
      <c r="Y454" s="23"/>
      <c r="Z454" s="23"/>
      <c r="AA454" s="23"/>
      <c r="AB454" s="23"/>
    </row>
    <row r="455" spans="11:28" x14ac:dyDescent="0.2">
      <c r="K455" s="23"/>
      <c r="L455" s="23"/>
      <c r="M455" s="23"/>
      <c r="N455" s="23"/>
      <c r="O455" s="23"/>
      <c r="P455" s="23"/>
      <c r="Q455" s="23"/>
      <c r="R455" s="23"/>
      <c r="S455" s="23"/>
      <c r="T455" s="23"/>
      <c r="U455" s="23"/>
      <c r="V455" s="23"/>
      <c r="W455" s="23"/>
      <c r="X455" s="23"/>
      <c r="Y455" s="23"/>
      <c r="Z455" s="23"/>
      <c r="AA455" s="23"/>
      <c r="AB455" s="23"/>
    </row>
    <row r="456" spans="11:28" x14ac:dyDescent="0.2">
      <c r="K456" s="23"/>
      <c r="L456" s="23"/>
      <c r="M456" s="23"/>
      <c r="N456" s="23"/>
      <c r="O456" s="23"/>
      <c r="P456" s="23"/>
      <c r="Q456" s="23"/>
      <c r="R456" s="23"/>
      <c r="S456" s="23"/>
      <c r="T456" s="23"/>
      <c r="U456" s="23"/>
      <c r="V456" s="23"/>
      <c r="W456" s="23"/>
      <c r="X456" s="23"/>
      <c r="Y456" s="23"/>
      <c r="Z456" s="23"/>
      <c r="AA456" s="23"/>
      <c r="AB456" s="23"/>
    </row>
    <row r="457" spans="11:28" x14ac:dyDescent="0.2">
      <c r="K457" s="23"/>
      <c r="L457" s="23"/>
      <c r="M457" s="23"/>
      <c r="N457" s="23"/>
      <c r="O457" s="23"/>
      <c r="P457" s="23"/>
      <c r="Q457" s="23"/>
      <c r="R457" s="23"/>
      <c r="S457" s="23"/>
      <c r="T457" s="23"/>
      <c r="U457" s="23"/>
      <c r="V457" s="23"/>
      <c r="W457" s="23"/>
      <c r="X457" s="23"/>
      <c r="Y457" s="23"/>
      <c r="Z457" s="23"/>
      <c r="AA457" s="23"/>
      <c r="AB457" s="23"/>
    </row>
    <row r="458" spans="11:28" x14ac:dyDescent="0.2">
      <c r="K458" s="23"/>
      <c r="L458" s="23"/>
      <c r="M458" s="23"/>
      <c r="N458" s="23"/>
      <c r="O458" s="23"/>
      <c r="P458" s="23"/>
      <c r="Q458" s="23"/>
      <c r="R458" s="23"/>
      <c r="S458" s="23"/>
      <c r="T458" s="23"/>
      <c r="U458" s="23"/>
      <c r="V458" s="23"/>
      <c r="W458" s="23"/>
      <c r="X458" s="23"/>
      <c r="Y458" s="23"/>
      <c r="Z458" s="23"/>
      <c r="AA458" s="23"/>
      <c r="AB458" s="23"/>
    </row>
    <row r="459" spans="11:28" x14ac:dyDescent="0.2">
      <c r="K459" s="23"/>
      <c r="L459" s="23"/>
      <c r="M459" s="23"/>
      <c r="N459" s="23"/>
      <c r="O459" s="23"/>
      <c r="P459" s="23"/>
      <c r="Q459" s="23"/>
      <c r="R459" s="23"/>
      <c r="S459" s="23"/>
      <c r="T459" s="23"/>
      <c r="U459" s="23"/>
      <c r="V459" s="23"/>
      <c r="W459" s="23"/>
      <c r="X459" s="23"/>
      <c r="Y459" s="23"/>
      <c r="Z459" s="23"/>
      <c r="AA459" s="23"/>
      <c r="AB459" s="23"/>
    </row>
    <row r="460" spans="11:28" x14ac:dyDescent="0.2">
      <c r="K460" s="23"/>
      <c r="L460" s="23"/>
      <c r="M460" s="23"/>
      <c r="N460" s="23"/>
      <c r="O460" s="23"/>
      <c r="P460" s="23"/>
      <c r="Q460" s="23"/>
      <c r="R460" s="23"/>
      <c r="S460" s="23"/>
      <c r="T460" s="23"/>
      <c r="U460" s="23"/>
      <c r="V460" s="23"/>
      <c r="W460" s="23"/>
      <c r="X460" s="23"/>
      <c r="Y460" s="23"/>
      <c r="Z460" s="23"/>
      <c r="AA460" s="23"/>
      <c r="AB460" s="23"/>
    </row>
    <row r="461" spans="11:28" x14ac:dyDescent="0.2">
      <c r="K461" s="23"/>
      <c r="L461" s="23"/>
      <c r="M461" s="23"/>
      <c r="N461" s="23"/>
      <c r="O461" s="23"/>
      <c r="P461" s="23"/>
      <c r="Q461" s="23"/>
      <c r="R461" s="23"/>
      <c r="S461" s="23"/>
      <c r="T461" s="23"/>
      <c r="U461" s="23"/>
      <c r="V461" s="23"/>
      <c r="W461" s="23"/>
      <c r="X461" s="23"/>
      <c r="Y461" s="23"/>
      <c r="Z461" s="23"/>
      <c r="AA461" s="23"/>
      <c r="AB461" s="23"/>
    </row>
    <row r="462" spans="11:28" x14ac:dyDescent="0.2">
      <c r="K462" s="23"/>
      <c r="L462" s="23"/>
      <c r="M462" s="23"/>
      <c r="N462" s="23"/>
      <c r="O462" s="23"/>
      <c r="P462" s="23"/>
      <c r="Q462" s="23"/>
      <c r="R462" s="23"/>
      <c r="S462" s="23"/>
      <c r="T462" s="23"/>
      <c r="U462" s="23"/>
      <c r="V462" s="23"/>
      <c r="W462" s="23"/>
      <c r="X462" s="23"/>
      <c r="Y462" s="23"/>
      <c r="Z462" s="23"/>
      <c r="AA462" s="23"/>
      <c r="AB462" s="23"/>
    </row>
    <row r="463" spans="11:28" x14ac:dyDescent="0.2">
      <c r="K463" s="23"/>
      <c r="L463" s="23"/>
      <c r="M463" s="23"/>
      <c r="N463" s="23"/>
      <c r="O463" s="23"/>
      <c r="P463" s="23"/>
      <c r="Q463" s="23"/>
      <c r="R463" s="23"/>
      <c r="S463" s="23"/>
      <c r="T463" s="23"/>
      <c r="U463" s="23"/>
      <c r="V463" s="23"/>
      <c r="W463" s="23"/>
      <c r="X463" s="23"/>
      <c r="Y463" s="23"/>
      <c r="Z463" s="23"/>
      <c r="AA463" s="23"/>
      <c r="AB463" s="23"/>
    </row>
    <row r="464" spans="11:28" x14ac:dyDescent="0.2">
      <c r="K464" s="23"/>
      <c r="L464" s="23"/>
      <c r="M464" s="23"/>
      <c r="N464" s="23"/>
      <c r="O464" s="23"/>
      <c r="P464" s="23"/>
      <c r="Q464" s="23"/>
      <c r="R464" s="23"/>
      <c r="S464" s="23"/>
      <c r="T464" s="23"/>
      <c r="U464" s="23"/>
      <c r="V464" s="23"/>
      <c r="W464" s="23"/>
      <c r="X464" s="23"/>
      <c r="Y464" s="23"/>
      <c r="Z464" s="23"/>
      <c r="AA464" s="23"/>
      <c r="AB464" s="23"/>
    </row>
    <row r="465" spans="11:28" x14ac:dyDescent="0.2">
      <c r="K465" s="23"/>
      <c r="L465" s="23"/>
      <c r="M465" s="23"/>
      <c r="N465" s="23"/>
      <c r="O465" s="23"/>
      <c r="P465" s="23"/>
      <c r="Q465" s="23"/>
      <c r="R465" s="23"/>
      <c r="S465" s="23"/>
      <c r="T465" s="23"/>
      <c r="U465" s="23"/>
      <c r="V465" s="23"/>
      <c r="W465" s="23"/>
      <c r="X465" s="23"/>
      <c r="Y465" s="23"/>
      <c r="Z465" s="23"/>
      <c r="AA465" s="23"/>
      <c r="AB465" s="23"/>
    </row>
    <row r="466" spans="11:28" x14ac:dyDescent="0.2">
      <c r="K466" s="23"/>
      <c r="L466" s="23"/>
      <c r="M466" s="23"/>
      <c r="N466" s="23"/>
      <c r="O466" s="23"/>
      <c r="P466" s="23"/>
      <c r="Q466" s="23"/>
      <c r="R466" s="23"/>
      <c r="S466" s="23"/>
      <c r="T466" s="23"/>
      <c r="U466" s="23"/>
      <c r="V466" s="23"/>
      <c r="W466" s="23"/>
      <c r="X466" s="23"/>
      <c r="Y466" s="23"/>
      <c r="Z466" s="23"/>
      <c r="AA466" s="23"/>
      <c r="AB466" s="23"/>
    </row>
    <row r="467" spans="11:28" x14ac:dyDescent="0.2">
      <c r="K467" s="23"/>
      <c r="L467" s="23"/>
      <c r="M467" s="23"/>
      <c r="N467" s="23"/>
      <c r="O467" s="23"/>
      <c r="P467" s="23"/>
      <c r="Q467" s="23"/>
      <c r="R467" s="23"/>
      <c r="S467" s="23"/>
      <c r="T467" s="23"/>
      <c r="U467" s="23"/>
      <c r="V467" s="23"/>
      <c r="W467" s="23"/>
      <c r="X467" s="23"/>
      <c r="Y467" s="23"/>
      <c r="Z467" s="23"/>
      <c r="AA467" s="23"/>
      <c r="AB467" s="23"/>
    </row>
    <row r="468" spans="11:28" x14ac:dyDescent="0.2">
      <c r="K468" s="23"/>
      <c r="L468" s="23"/>
      <c r="M468" s="23"/>
      <c r="N468" s="23"/>
      <c r="O468" s="23"/>
      <c r="P468" s="23"/>
      <c r="Q468" s="23"/>
      <c r="R468" s="23"/>
      <c r="S468" s="23"/>
      <c r="T468" s="23"/>
      <c r="U468" s="23"/>
      <c r="V468" s="23"/>
      <c r="W468" s="23"/>
      <c r="X468" s="23"/>
      <c r="Y468" s="23"/>
      <c r="Z468" s="23"/>
      <c r="AA468" s="23"/>
      <c r="AB468" s="23"/>
    </row>
    <row r="469" spans="11:28" x14ac:dyDescent="0.2">
      <c r="K469" s="23"/>
      <c r="L469" s="23"/>
      <c r="M469" s="23"/>
      <c r="N469" s="23"/>
      <c r="O469" s="23"/>
      <c r="P469" s="23"/>
      <c r="Q469" s="23"/>
      <c r="R469" s="23"/>
      <c r="S469" s="23"/>
      <c r="T469" s="23"/>
      <c r="U469" s="23"/>
      <c r="V469" s="23"/>
      <c r="W469" s="23"/>
      <c r="X469" s="23"/>
      <c r="Y469" s="23"/>
      <c r="Z469" s="23"/>
      <c r="AA469" s="23"/>
      <c r="AB469" s="23"/>
    </row>
    <row r="470" spans="11:28" x14ac:dyDescent="0.2">
      <c r="K470" s="23"/>
      <c r="L470" s="23"/>
      <c r="M470" s="23"/>
      <c r="N470" s="23"/>
      <c r="O470" s="23"/>
      <c r="P470" s="23"/>
      <c r="Q470" s="23"/>
      <c r="R470" s="23"/>
      <c r="S470" s="23"/>
      <c r="T470" s="23"/>
      <c r="U470" s="23"/>
      <c r="V470" s="23"/>
      <c r="W470" s="23"/>
      <c r="X470" s="23"/>
      <c r="Y470" s="23"/>
      <c r="Z470" s="23"/>
      <c r="AA470" s="23"/>
      <c r="AB470" s="23"/>
    </row>
    <row r="471" spans="11:28" x14ac:dyDescent="0.2">
      <c r="K471" s="23"/>
      <c r="L471" s="23"/>
      <c r="M471" s="23"/>
      <c r="N471" s="23"/>
      <c r="O471" s="23"/>
      <c r="P471" s="23"/>
      <c r="Q471" s="23"/>
      <c r="R471" s="23"/>
      <c r="S471" s="23"/>
      <c r="T471" s="23"/>
      <c r="U471" s="23"/>
      <c r="V471" s="23"/>
      <c r="W471" s="23"/>
      <c r="X471" s="23"/>
      <c r="Y471" s="23"/>
      <c r="Z471" s="23"/>
      <c r="AA471" s="23"/>
      <c r="AB471" s="23"/>
    </row>
    <row r="472" spans="11:28" x14ac:dyDescent="0.2">
      <c r="K472" s="23"/>
      <c r="L472" s="23"/>
      <c r="M472" s="23"/>
      <c r="N472" s="23"/>
      <c r="O472" s="23"/>
      <c r="P472" s="23"/>
      <c r="Q472" s="23"/>
      <c r="R472" s="23"/>
      <c r="S472" s="23"/>
      <c r="T472" s="23"/>
      <c r="U472" s="23"/>
      <c r="V472" s="23"/>
      <c r="W472" s="23"/>
      <c r="X472" s="23"/>
      <c r="Y472" s="23"/>
      <c r="Z472" s="23"/>
      <c r="AA472" s="23"/>
      <c r="AB472" s="23"/>
    </row>
    <row r="473" spans="11:28" x14ac:dyDescent="0.2">
      <c r="K473" s="23"/>
      <c r="L473" s="23"/>
      <c r="M473" s="23"/>
      <c r="N473" s="23"/>
      <c r="O473" s="23"/>
      <c r="P473" s="23"/>
      <c r="Q473" s="23"/>
      <c r="R473" s="23"/>
      <c r="S473" s="23"/>
      <c r="T473" s="23"/>
      <c r="U473" s="23"/>
      <c r="V473" s="23"/>
      <c r="W473" s="23"/>
      <c r="X473" s="23"/>
      <c r="Y473" s="23"/>
      <c r="Z473" s="23"/>
      <c r="AA473" s="23"/>
      <c r="AB473" s="23"/>
    </row>
    <row r="474" spans="11:28" x14ac:dyDescent="0.2">
      <c r="K474" s="23"/>
      <c r="L474" s="23"/>
      <c r="M474" s="23"/>
      <c r="N474" s="23"/>
      <c r="O474" s="23"/>
      <c r="P474" s="23"/>
      <c r="Q474" s="23"/>
      <c r="R474" s="23"/>
      <c r="S474" s="23"/>
      <c r="T474" s="23"/>
      <c r="U474" s="23"/>
      <c r="V474" s="23"/>
      <c r="W474" s="23"/>
      <c r="X474" s="23"/>
      <c r="Y474" s="23"/>
      <c r="Z474" s="23"/>
      <c r="AA474" s="23"/>
      <c r="AB474" s="23"/>
    </row>
    <row r="475" spans="11:28" x14ac:dyDescent="0.2">
      <c r="K475" s="23"/>
      <c r="L475" s="23"/>
      <c r="M475" s="23"/>
      <c r="N475" s="23"/>
      <c r="O475" s="23"/>
      <c r="P475" s="23"/>
      <c r="Q475" s="23"/>
      <c r="R475" s="23"/>
      <c r="S475" s="23"/>
      <c r="T475" s="23"/>
      <c r="U475" s="23"/>
      <c r="V475" s="23"/>
      <c r="W475" s="23"/>
      <c r="X475" s="23"/>
      <c r="Y475" s="23"/>
      <c r="Z475" s="23"/>
      <c r="AA475" s="23"/>
      <c r="AB475" s="23"/>
    </row>
    <row r="476" spans="11:28" x14ac:dyDescent="0.2">
      <c r="K476" s="23"/>
      <c r="L476" s="23"/>
      <c r="M476" s="23"/>
      <c r="N476" s="23"/>
      <c r="O476" s="23"/>
      <c r="P476" s="23"/>
      <c r="Q476" s="23"/>
      <c r="R476" s="23"/>
      <c r="S476" s="23"/>
      <c r="T476" s="23"/>
      <c r="U476" s="23"/>
      <c r="V476" s="23"/>
      <c r="W476" s="23"/>
      <c r="X476" s="23"/>
      <c r="Y476" s="23"/>
      <c r="Z476" s="23"/>
      <c r="AA476" s="23"/>
      <c r="AB476" s="23"/>
    </row>
    <row r="477" spans="11:28" x14ac:dyDescent="0.2">
      <c r="K477" s="23"/>
      <c r="L477" s="23"/>
      <c r="M477" s="23"/>
      <c r="N477" s="23"/>
      <c r="O477" s="23"/>
      <c r="P477" s="23"/>
      <c r="Q477" s="23"/>
      <c r="R477" s="23"/>
      <c r="S477" s="23"/>
      <c r="T477" s="23"/>
      <c r="U477" s="23"/>
      <c r="V477" s="23"/>
      <c r="W477" s="23"/>
      <c r="X477" s="23"/>
      <c r="Y477" s="23"/>
      <c r="Z477" s="23"/>
      <c r="AA477" s="23"/>
      <c r="AB477" s="23"/>
    </row>
    <row r="478" spans="11:28" x14ac:dyDescent="0.2">
      <c r="K478" s="23"/>
      <c r="L478" s="23"/>
      <c r="M478" s="23"/>
      <c r="N478" s="23"/>
      <c r="O478" s="23"/>
      <c r="P478" s="23"/>
      <c r="Q478" s="23"/>
      <c r="R478" s="23"/>
      <c r="S478" s="23"/>
      <c r="T478" s="23"/>
      <c r="U478" s="23"/>
      <c r="V478" s="23"/>
      <c r="W478" s="23"/>
      <c r="X478" s="23"/>
      <c r="Y478" s="23"/>
      <c r="Z478" s="23"/>
      <c r="AA478" s="23"/>
      <c r="AB478" s="23"/>
    </row>
    <row r="479" spans="11:28" x14ac:dyDescent="0.2">
      <c r="K479" s="23"/>
      <c r="L479" s="23"/>
      <c r="M479" s="23"/>
      <c r="N479" s="23"/>
      <c r="O479" s="23"/>
      <c r="P479" s="23"/>
      <c r="Q479" s="23"/>
      <c r="R479" s="23"/>
      <c r="S479" s="23"/>
      <c r="T479" s="23"/>
      <c r="U479" s="23"/>
      <c r="V479" s="23"/>
      <c r="W479" s="23"/>
      <c r="X479" s="23"/>
      <c r="Y479" s="23"/>
      <c r="Z479" s="23"/>
      <c r="AA479" s="23"/>
      <c r="AB479" s="23"/>
    </row>
    <row r="480" spans="11:28" x14ac:dyDescent="0.2">
      <c r="K480" s="23"/>
      <c r="L480" s="23"/>
      <c r="M480" s="23"/>
      <c r="N480" s="23"/>
      <c r="O480" s="23"/>
      <c r="P480" s="23"/>
      <c r="Q480" s="23"/>
      <c r="R480" s="23"/>
      <c r="S480" s="23"/>
      <c r="T480" s="23"/>
      <c r="U480" s="23"/>
      <c r="V480" s="23"/>
      <c r="W480" s="23"/>
      <c r="X480" s="23"/>
      <c r="Y480" s="23"/>
      <c r="Z480" s="23"/>
      <c r="AA480" s="23"/>
      <c r="AB480" s="23"/>
    </row>
    <row r="481" spans="11:28" x14ac:dyDescent="0.2">
      <c r="K481" s="23"/>
      <c r="L481" s="23"/>
      <c r="M481" s="23"/>
      <c r="N481" s="23"/>
      <c r="O481" s="23"/>
      <c r="P481" s="23"/>
      <c r="Q481" s="23"/>
      <c r="R481" s="23"/>
      <c r="S481" s="23"/>
      <c r="T481" s="23"/>
      <c r="U481" s="23"/>
      <c r="V481" s="23"/>
      <c r="W481" s="23"/>
      <c r="X481" s="23"/>
      <c r="Y481" s="23"/>
      <c r="Z481" s="23"/>
      <c r="AA481" s="23"/>
      <c r="AB481" s="23"/>
    </row>
    <row r="482" spans="11:28" x14ac:dyDescent="0.2">
      <c r="K482" s="23"/>
      <c r="L482" s="23"/>
      <c r="M482" s="23"/>
      <c r="N482" s="23"/>
      <c r="O482" s="23"/>
      <c r="P482" s="23"/>
      <c r="Q482" s="23"/>
      <c r="R482" s="23"/>
      <c r="S482" s="23"/>
      <c r="T482" s="23"/>
      <c r="U482" s="23"/>
      <c r="V482" s="23"/>
      <c r="W482" s="23"/>
      <c r="X482" s="23"/>
      <c r="Y482" s="23"/>
      <c r="Z482" s="23"/>
      <c r="AA482" s="23"/>
      <c r="AB482" s="23"/>
    </row>
    <row r="483" spans="11:28" x14ac:dyDescent="0.2">
      <c r="K483" s="23"/>
      <c r="L483" s="23"/>
      <c r="M483" s="23"/>
      <c r="N483" s="23"/>
      <c r="O483" s="23"/>
      <c r="P483" s="23"/>
      <c r="Q483" s="23"/>
      <c r="R483" s="23"/>
      <c r="S483" s="23"/>
      <c r="T483" s="23"/>
      <c r="U483" s="23"/>
      <c r="V483" s="23"/>
      <c r="W483" s="23"/>
      <c r="X483" s="23"/>
      <c r="Y483" s="23"/>
      <c r="Z483" s="23"/>
      <c r="AA483" s="23"/>
      <c r="AB483" s="23"/>
    </row>
    <row r="484" spans="11:28" x14ac:dyDescent="0.2">
      <c r="K484" s="23"/>
      <c r="L484" s="23"/>
      <c r="M484" s="23"/>
      <c r="N484" s="23"/>
      <c r="O484" s="23"/>
      <c r="P484" s="23"/>
      <c r="Q484" s="23"/>
      <c r="R484" s="23"/>
      <c r="S484" s="23"/>
      <c r="T484" s="23"/>
      <c r="U484" s="23"/>
      <c r="V484" s="23"/>
      <c r="W484" s="23"/>
      <c r="X484" s="23"/>
      <c r="Y484" s="23"/>
      <c r="Z484" s="23"/>
      <c r="AA484" s="23"/>
      <c r="AB484" s="23"/>
    </row>
    <row r="485" spans="11:28" x14ac:dyDescent="0.2">
      <c r="K485" s="23"/>
      <c r="L485" s="23"/>
      <c r="M485" s="23"/>
      <c r="N485" s="23"/>
      <c r="O485" s="23"/>
      <c r="P485" s="23"/>
      <c r="Q485" s="23"/>
      <c r="R485" s="23"/>
      <c r="S485" s="23"/>
      <c r="T485" s="23"/>
      <c r="U485" s="23"/>
      <c r="V485" s="23"/>
      <c r="W485" s="23"/>
      <c r="X485" s="23"/>
      <c r="Y485" s="23"/>
      <c r="Z485" s="23"/>
      <c r="AA485" s="23"/>
      <c r="AB485" s="23"/>
    </row>
    <row r="486" spans="11:28" x14ac:dyDescent="0.2">
      <c r="K486" s="23"/>
      <c r="L486" s="23"/>
      <c r="M486" s="23"/>
      <c r="N486" s="23"/>
      <c r="O486" s="23"/>
      <c r="P486" s="23"/>
      <c r="Q486" s="23"/>
      <c r="R486" s="23"/>
      <c r="S486" s="23"/>
      <c r="T486" s="23"/>
      <c r="U486" s="23"/>
      <c r="V486" s="23"/>
      <c r="W486" s="23"/>
      <c r="X486" s="23"/>
      <c r="Y486" s="23"/>
      <c r="Z486" s="23"/>
      <c r="AA486" s="23"/>
      <c r="AB486" s="23"/>
    </row>
    <row r="487" spans="11:28" x14ac:dyDescent="0.2">
      <c r="K487" s="23"/>
      <c r="L487" s="23"/>
      <c r="M487" s="23"/>
      <c r="N487" s="23"/>
      <c r="O487" s="23"/>
      <c r="P487" s="23"/>
      <c r="Q487" s="23"/>
      <c r="R487" s="23"/>
      <c r="S487" s="23"/>
      <c r="T487" s="23"/>
      <c r="U487" s="23"/>
      <c r="V487" s="23"/>
      <c r="W487" s="23"/>
      <c r="X487" s="23"/>
      <c r="Y487" s="23"/>
      <c r="Z487" s="23"/>
      <c r="AA487" s="23"/>
      <c r="AB487" s="23"/>
    </row>
    <row r="488" spans="11:28" x14ac:dyDescent="0.2">
      <c r="K488" s="23"/>
      <c r="L488" s="23"/>
      <c r="M488" s="23"/>
      <c r="N488" s="23"/>
      <c r="O488" s="23"/>
      <c r="P488" s="23"/>
      <c r="Q488" s="23"/>
      <c r="R488" s="23"/>
      <c r="S488" s="23"/>
      <c r="T488" s="23"/>
      <c r="U488" s="23"/>
      <c r="V488" s="23"/>
      <c r="W488" s="23"/>
      <c r="X488" s="23"/>
      <c r="Y488" s="23"/>
      <c r="Z488" s="23"/>
      <c r="AA488" s="23"/>
      <c r="AB488" s="23"/>
    </row>
    <row r="489" spans="11:28" x14ac:dyDescent="0.2">
      <c r="K489" s="23"/>
      <c r="L489" s="23"/>
      <c r="M489" s="23"/>
      <c r="N489" s="23"/>
      <c r="O489" s="23"/>
      <c r="P489" s="23"/>
      <c r="Q489" s="23"/>
      <c r="R489" s="23"/>
      <c r="S489" s="23"/>
      <c r="T489" s="23"/>
      <c r="U489" s="23"/>
      <c r="V489" s="23"/>
      <c r="W489" s="23"/>
      <c r="X489" s="23"/>
      <c r="Y489" s="23"/>
      <c r="Z489" s="23"/>
      <c r="AA489" s="23"/>
      <c r="AB489" s="23"/>
    </row>
    <row r="490" spans="11:28" x14ac:dyDescent="0.2">
      <c r="K490" s="23"/>
      <c r="L490" s="23"/>
      <c r="M490" s="23"/>
      <c r="N490" s="23"/>
      <c r="O490" s="23"/>
      <c r="P490" s="23"/>
      <c r="Q490" s="23"/>
      <c r="R490" s="23"/>
      <c r="S490" s="23"/>
      <c r="T490" s="23"/>
      <c r="U490" s="23"/>
      <c r="V490" s="23"/>
      <c r="W490" s="23"/>
      <c r="X490" s="23"/>
      <c r="Y490" s="23"/>
      <c r="Z490" s="23"/>
      <c r="AA490" s="23"/>
      <c r="AB490" s="23"/>
    </row>
    <row r="491" spans="11:28" x14ac:dyDescent="0.2">
      <c r="K491" s="23"/>
      <c r="L491" s="23"/>
      <c r="M491" s="23"/>
      <c r="N491" s="23"/>
      <c r="O491" s="23"/>
      <c r="P491" s="23"/>
      <c r="Q491" s="23"/>
      <c r="R491" s="23"/>
      <c r="S491" s="23"/>
      <c r="T491" s="23"/>
      <c r="U491" s="23"/>
      <c r="V491" s="23"/>
      <c r="W491" s="23"/>
      <c r="X491" s="23"/>
      <c r="Y491" s="23"/>
      <c r="Z491" s="23"/>
      <c r="AA491" s="23"/>
      <c r="AB491" s="23"/>
    </row>
    <row r="492" spans="11:28" x14ac:dyDescent="0.2">
      <c r="K492" s="23"/>
      <c r="L492" s="23"/>
      <c r="M492" s="23"/>
      <c r="N492" s="23"/>
      <c r="O492" s="23"/>
      <c r="P492" s="23"/>
      <c r="Q492" s="23"/>
      <c r="R492" s="23"/>
      <c r="S492" s="23"/>
      <c r="T492" s="23"/>
      <c r="U492" s="23"/>
      <c r="V492" s="23"/>
      <c r="W492" s="23"/>
      <c r="X492" s="23"/>
      <c r="Y492" s="23"/>
      <c r="Z492" s="23"/>
      <c r="AA492" s="23"/>
      <c r="AB492" s="23"/>
    </row>
    <row r="493" spans="11:28" x14ac:dyDescent="0.2">
      <c r="K493" s="23"/>
      <c r="L493" s="23"/>
      <c r="M493" s="23"/>
      <c r="N493" s="23"/>
      <c r="O493" s="23"/>
      <c r="P493" s="23"/>
      <c r="Q493" s="23"/>
      <c r="R493" s="23"/>
      <c r="S493" s="23"/>
      <c r="T493" s="23"/>
      <c r="U493" s="23"/>
      <c r="V493" s="23"/>
      <c r="W493" s="23"/>
      <c r="X493" s="23"/>
      <c r="Y493" s="23"/>
      <c r="Z493" s="23"/>
      <c r="AA493" s="23"/>
      <c r="AB493" s="23"/>
    </row>
    <row r="494" spans="11:28" x14ac:dyDescent="0.2">
      <c r="K494" s="23"/>
      <c r="L494" s="23"/>
      <c r="M494" s="23"/>
      <c r="N494" s="23"/>
      <c r="O494" s="23"/>
      <c r="P494" s="23"/>
      <c r="Q494" s="23"/>
      <c r="R494" s="23"/>
      <c r="S494" s="23"/>
      <c r="T494" s="23"/>
      <c r="U494" s="23"/>
      <c r="V494" s="23"/>
      <c r="W494" s="23"/>
      <c r="X494" s="23"/>
      <c r="Y494" s="23"/>
      <c r="Z494" s="23"/>
      <c r="AA494" s="23"/>
      <c r="AB494" s="23"/>
    </row>
    <row r="495" spans="11:28" x14ac:dyDescent="0.2">
      <c r="K495" s="23"/>
      <c r="L495" s="23"/>
      <c r="M495" s="23"/>
      <c r="N495" s="23"/>
      <c r="O495" s="23"/>
      <c r="P495" s="23"/>
      <c r="Q495" s="23"/>
      <c r="R495" s="23"/>
      <c r="S495" s="23"/>
      <c r="T495" s="23"/>
      <c r="U495" s="23"/>
      <c r="V495" s="23"/>
      <c r="W495" s="23"/>
      <c r="X495" s="23"/>
      <c r="Y495" s="23"/>
      <c r="Z495" s="23"/>
      <c r="AA495" s="23"/>
      <c r="AB495" s="23"/>
    </row>
    <row r="496" spans="11:28" x14ac:dyDescent="0.2">
      <c r="K496" s="23"/>
      <c r="L496" s="23"/>
      <c r="M496" s="23"/>
      <c r="N496" s="23"/>
      <c r="O496" s="23"/>
      <c r="P496" s="23"/>
      <c r="Q496" s="23"/>
      <c r="R496" s="23"/>
      <c r="S496" s="23"/>
      <c r="T496" s="23"/>
      <c r="U496" s="23"/>
      <c r="V496" s="23"/>
      <c r="W496" s="23"/>
      <c r="X496" s="23"/>
      <c r="Y496" s="23"/>
      <c r="Z496" s="23"/>
      <c r="AA496" s="23"/>
      <c r="AB496" s="23"/>
    </row>
    <row r="497" spans="11:28" x14ac:dyDescent="0.2">
      <c r="K497" s="23"/>
      <c r="L497" s="23"/>
      <c r="M497" s="23"/>
      <c r="N497" s="23"/>
      <c r="O497" s="23"/>
      <c r="P497" s="23"/>
      <c r="Q497" s="23"/>
      <c r="R497" s="23"/>
      <c r="S497" s="23"/>
      <c r="T497" s="23"/>
      <c r="U497" s="23"/>
      <c r="V497" s="23"/>
      <c r="W497" s="23"/>
      <c r="X497" s="23"/>
      <c r="Y497" s="23"/>
      <c r="Z497" s="23"/>
      <c r="AA497" s="23"/>
      <c r="AB497" s="23"/>
    </row>
    <row r="498" spans="11:28" x14ac:dyDescent="0.2">
      <c r="K498" s="23"/>
      <c r="L498" s="23"/>
      <c r="M498" s="23"/>
      <c r="N498" s="23"/>
      <c r="O498" s="23"/>
      <c r="P498" s="23"/>
      <c r="Q498" s="23"/>
      <c r="R498" s="23"/>
      <c r="S498" s="23"/>
      <c r="T498" s="23"/>
      <c r="U498" s="23"/>
      <c r="V498" s="23"/>
      <c r="W498" s="23"/>
      <c r="X498" s="23"/>
      <c r="Y498" s="23"/>
      <c r="Z498" s="23"/>
      <c r="AA498" s="23"/>
      <c r="AB498" s="23"/>
    </row>
    <row r="499" spans="11:28" x14ac:dyDescent="0.2">
      <c r="K499" s="23"/>
      <c r="L499" s="23"/>
      <c r="M499" s="23"/>
      <c r="N499" s="23"/>
      <c r="O499" s="23"/>
      <c r="P499" s="23"/>
      <c r="Q499" s="23"/>
      <c r="R499" s="23"/>
      <c r="S499" s="23"/>
      <c r="T499" s="23"/>
      <c r="U499" s="23"/>
      <c r="V499" s="23"/>
      <c r="W499" s="23"/>
      <c r="X499" s="23"/>
      <c r="Y499" s="23"/>
      <c r="Z499" s="23"/>
      <c r="AA499" s="23"/>
      <c r="AB499" s="23"/>
    </row>
    <row r="500" spans="11:28" x14ac:dyDescent="0.2">
      <c r="K500" s="23"/>
      <c r="L500" s="23"/>
      <c r="M500" s="23"/>
      <c r="N500" s="23"/>
      <c r="O500" s="23"/>
      <c r="P500" s="23"/>
      <c r="Q500" s="23"/>
      <c r="R500" s="23"/>
      <c r="S500" s="23"/>
      <c r="T500" s="23"/>
      <c r="U500" s="23"/>
      <c r="V500" s="23"/>
      <c r="W500" s="23"/>
      <c r="X500" s="23"/>
      <c r="Y500" s="23"/>
      <c r="Z500" s="23"/>
      <c r="AA500" s="23"/>
      <c r="AB500" s="23"/>
    </row>
    <row r="501" spans="11:28" x14ac:dyDescent="0.2">
      <c r="K501" s="23"/>
      <c r="L501" s="23"/>
      <c r="M501" s="23"/>
      <c r="N501" s="23"/>
      <c r="O501" s="23"/>
      <c r="P501" s="23"/>
      <c r="Q501" s="23"/>
      <c r="R501" s="23"/>
      <c r="S501" s="23"/>
      <c r="T501" s="23"/>
      <c r="U501" s="23"/>
      <c r="V501" s="23"/>
      <c r="W501" s="23"/>
      <c r="X501" s="23"/>
      <c r="Y501" s="23"/>
      <c r="Z501" s="23"/>
      <c r="AA501" s="23"/>
      <c r="AB501" s="23"/>
    </row>
    <row r="502" spans="11:28" x14ac:dyDescent="0.2">
      <c r="K502" s="23"/>
      <c r="L502" s="23"/>
      <c r="M502" s="23"/>
      <c r="N502" s="23"/>
      <c r="O502" s="23"/>
      <c r="P502" s="23"/>
      <c r="Q502" s="23"/>
      <c r="R502" s="23"/>
      <c r="S502" s="23"/>
      <c r="T502" s="23"/>
      <c r="U502" s="23"/>
      <c r="V502" s="23"/>
      <c r="W502" s="23"/>
      <c r="X502" s="23"/>
      <c r="Y502" s="23"/>
      <c r="Z502" s="23"/>
      <c r="AA502" s="23"/>
      <c r="AB502" s="23"/>
    </row>
    <row r="503" spans="11:28" x14ac:dyDescent="0.2">
      <c r="K503" s="23"/>
      <c r="L503" s="23"/>
      <c r="M503" s="23"/>
      <c r="N503" s="23"/>
      <c r="O503" s="23"/>
      <c r="P503" s="23"/>
      <c r="Q503" s="23"/>
      <c r="R503" s="23"/>
      <c r="S503" s="23"/>
      <c r="T503" s="23"/>
      <c r="U503" s="23"/>
      <c r="V503" s="23"/>
      <c r="W503" s="23"/>
      <c r="X503" s="23"/>
      <c r="Y503" s="23"/>
      <c r="Z503" s="23"/>
      <c r="AA503" s="23"/>
      <c r="AB503" s="23"/>
    </row>
    <row r="504" spans="11:28" x14ac:dyDescent="0.2">
      <c r="K504" s="23"/>
      <c r="L504" s="23"/>
      <c r="M504" s="23"/>
      <c r="N504" s="23"/>
      <c r="O504" s="23"/>
      <c r="P504" s="23"/>
      <c r="Q504" s="23"/>
      <c r="R504" s="23"/>
      <c r="S504" s="23"/>
      <c r="T504" s="23"/>
      <c r="U504" s="23"/>
      <c r="V504" s="23"/>
      <c r="W504" s="23"/>
      <c r="X504" s="23"/>
      <c r="Y504" s="23"/>
      <c r="Z504" s="23"/>
      <c r="AA504" s="23"/>
      <c r="AB504" s="23"/>
    </row>
    <row r="505" spans="11:28" x14ac:dyDescent="0.2">
      <c r="K505" s="23"/>
      <c r="L505" s="23"/>
      <c r="M505" s="23"/>
      <c r="N505" s="23"/>
      <c r="O505" s="23"/>
      <c r="P505" s="23"/>
      <c r="Q505" s="23"/>
      <c r="R505" s="23"/>
      <c r="S505" s="23"/>
      <c r="T505" s="23"/>
      <c r="U505" s="23"/>
      <c r="V505" s="23"/>
      <c r="W505" s="23"/>
      <c r="X505" s="23"/>
      <c r="Y505" s="23"/>
      <c r="Z505" s="23"/>
      <c r="AA505" s="23"/>
      <c r="AB505" s="23"/>
    </row>
    <row r="506" spans="11:28" x14ac:dyDescent="0.2">
      <c r="K506" s="23"/>
      <c r="L506" s="23"/>
      <c r="M506" s="23"/>
      <c r="N506" s="23"/>
      <c r="O506" s="23"/>
      <c r="P506" s="23"/>
      <c r="Q506" s="23"/>
      <c r="R506" s="23"/>
      <c r="S506" s="23"/>
      <c r="T506" s="23"/>
      <c r="U506" s="23"/>
      <c r="V506" s="23"/>
      <c r="W506" s="23"/>
      <c r="X506" s="23"/>
      <c r="Y506" s="23"/>
      <c r="Z506" s="23"/>
      <c r="AA506" s="23"/>
      <c r="AB506" s="23"/>
    </row>
    <row r="507" spans="11:28" x14ac:dyDescent="0.2">
      <c r="K507" s="23"/>
      <c r="L507" s="23"/>
      <c r="M507" s="23"/>
      <c r="N507" s="23"/>
      <c r="O507" s="23"/>
      <c r="P507" s="23"/>
      <c r="Q507" s="23"/>
      <c r="R507" s="23"/>
      <c r="S507" s="23"/>
      <c r="T507" s="23"/>
      <c r="U507" s="23"/>
      <c r="V507" s="23"/>
      <c r="W507" s="23"/>
      <c r="X507" s="23"/>
      <c r="Y507" s="23"/>
      <c r="Z507" s="23"/>
      <c r="AA507" s="23"/>
      <c r="AB507" s="23"/>
    </row>
    <row r="508" spans="11:28" x14ac:dyDescent="0.2">
      <c r="K508" s="23"/>
      <c r="L508" s="23"/>
      <c r="M508" s="23"/>
      <c r="N508" s="23"/>
      <c r="O508" s="23"/>
      <c r="P508" s="23"/>
      <c r="Q508" s="23"/>
      <c r="R508" s="23"/>
      <c r="S508" s="23"/>
      <c r="T508" s="23"/>
      <c r="U508" s="23"/>
      <c r="V508" s="23"/>
      <c r="W508" s="23"/>
      <c r="X508" s="23"/>
      <c r="Y508" s="23"/>
      <c r="Z508" s="23"/>
      <c r="AA508" s="23"/>
      <c r="AB508" s="23"/>
    </row>
    <row r="509" spans="11:28" x14ac:dyDescent="0.2">
      <c r="K509" s="23"/>
      <c r="L509" s="23"/>
      <c r="M509" s="23"/>
      <c r="N509" s="23"/>
      <c r="O509" s="23"/>
      <c r="P509" s="23"/>
      <c r="Q509" s="23"/>
      <c r="R509" s="23"/>
      <c r="S509" s="23"/>
      <c r="T509" s="23"/>
      <c r="U509" s="23"/>
      <c r="V509" s="23"/>
      <c r="W509" s="23"/>
      <c r="X509" s="23"/>
      <c r="Y509" s="23"/>
      <c r="Z509" s="23"/>
      <c r="AA509" s="23"/>
      <c r="AB509" s="23"/>
    </row>
    <row r="510" spans="11:28" x14ac:dyDescent="0.2">
      <c r="K510" s="23"/>
      <c r="L510" s="23"/>
      <c r="M510" s="23"/>
      <c r="N510" s="23"/>
      <c r="O510" s="23"/>
      <c r="P510" s="23"/>
      <c r="Q510" s="23"/>
      <c r="R510" s="23"/>
      <c r="S510" s="23"/>
      <c r="T510" s="23"/>
      <c r="U510" s="23"/>
      <c r="V510" s="23"/>
      <c r="W510" s="23"/>
      <c r="X510" s="23"/>
      <c r="Y510" s="23"/>
      <c r="Z510" s="23"/>
      <c r="AA510" s="23"/>
      <c r="AB510" s="23"/>
    </row>
    <row r="511" spans="11:28" x14ac:dyDescent="0.2">
      <c r="K511" s="23"/>
      <c r="L511" s="23"/>
      <c r="M511" s="23"/>
      <c r="N511" s="23"/>
      <c r="O511" s="23"/>
      <c r="P511" s="23"/>
      <c r="Q511" s="23"/>
      <c r="R511" s="23"/>
      <c r="S511" s="23"/>
      <c r="T511" s="23"/>
      <c r="U511" s="23"/>
      <c r="V511" s="23"/>
      <c r="W511" s="23"/>
      <c r="X511" s="23"/>
      <c r="Y511" s="23"/>
      <c r="Z511" s="23"/>
      <c r="AA511" s="23"/>
      <c r="AB511" s="23"/>
    </row>
    <row r="512" spans="11:28" x14ac:dyDescent="0.2">
      <c r="K512" s="23"/>
      <c r="L512" s="23"/>
      <c r="M512" s="23"/>
      <c r="N512" s="23"/>
      <c r="O512" s="23"/>
      <c r="P512" s="23"/>
      <c r="Q512" s="23"/>
      <c r="R512" s="23"/>
      <c r="S512" s="23"/>
      <c r="T512" s="23"/>
      <c r="U512" s="23"/>
      <c r="V512" s="23"/>
      <c r="W512" s="23"/>
      <c r="X512" s="23"/>
      <c r="Y512" s="23"/>
      <c r="Z512" s="23"/>
      <c r="AA512" s="23"/>
      <c r="AB512" s="23"/>
    </row>
    <row r="513" spans="11:28" x14ac:dyDescent="0.2">
      <c r="K513" s="23"/>
      <c r="L513" s="23"/>
      <c r="M513" s="23"/>
      <c r="N513" s="23"/>
      <c r="O513" s="23"/>
      <c r="P513" s="23"/>
      <c r="Q513" s="23"/>
      <c r="R513" s="23"/>
      <c r="S513" s="23"/>
      <c r="T513" s="23"/>
      <c r="U513" s="23"/>
      <c r="V513" s="23"/>
      <c r="W513" s="23"/>
      <c r="X513" s="23"/>
      <c r="Y513" s="23"/>
      <c r="Z513" s="23"/>
      <c r="AA513" s="23"/>
      <c r="AB513" s="23"/>
    </row>
    <row r="514" spans="11:28" x14ac:dyDescent="0.2">
      <c r="K514" s="23"/>
      <c r="L514" s="23"/>
      <c r="M514" s="23"/>
      <c r="N514" s="23"/>
      <c r="O514" s="23"/>
      <c r="P514" s="23"/>
      <c r="Q514" s="23"/>
      <c r="R514" s="23"/>
      <c r="S514" s="23"/>
      <c r="T514" s="23"/>
      <c r="U514" s="23"/>
      <c r="V514" s="23"/>
      <c r="W514" s="23"/>
      <c r="X514" s="23"/>
      <c r="Y514" s="23"/>
      <c r="Z514" s="23"/>
      <c r="AA514" s="23"/>
      <c r="AB514" s="23"/>
    </row>
    <row r="515" spans="11:28" x14ac:dyDescent="0.2">
      <c r="K515" s="23"/>
      <c r="L515" s="23"/>
      <c r="M515" s="23"/>
      <c r="N515" s="23"/>
      <c r="O515" s="23"/>
      <c r="P515" s="23"/>
      <c r="Q515" s="23"/>
      <c r="R515" s="23"/>
      <c r="S515" s="23"/>
      <c r="T515" s="23"/>
      <c r="U515" s="23"/>
      <c r="V515" s="23"/>
      <c r="W515" s="23"/>
      <c r="X515" s="23"/>
      <c r="Y515" s="23"/>
      <c r="Z515" s="23"/>
      <c r="AA515" s="23"/>
      <c r="AB515" s="23"/>
    </row>
    <row r="516" spans="11:28" x14ac:dyDescent="0.2">
      <c r="K516" s="23"/>
      <c r="L516" s="23"/>
      <c r="M516" s="23"/>
      <c r="N516" s="23"/>
      <c r="O516" s="23"/>
      <c r="P516" s="23"/>
      <c r="Q516" s="23"/>
      <c r="R516" s="23"/>
      <c r="S516" s="23"/>
      <c r="T516" s="23"/>
      <c r="U516" s="23"/>
      <c r="V516" s="23"/>
      <c r="W516" s="23"/>
      <c r="X516" s="23"/>
      <c r="Y516" s="23"/>
      <c r="Z516" s="23"/>
      <c r="AA516" s="23"/>
      <c r="AB516" s="23"/>
    </row>
    <row r="517" spans="11:28" x14ac:dyDescent="0.2">
      <c r="K517" s="23"/>
      <c r="L517" s="23"/>
      <c r="M517" s="23"/>
      <c r="N517" s="23"/>
      <c r="O517" s="23"/>
      <c r="P517" s="23"/>
      <c r="Q517" s="23"/>
      <c r="R517" s="23"/>
      <c r="S517" s="23"/>
      <c r="T517" s="23"/>
      <c r="U517" s="23"/>
      <c r="V517" s="23"/>
      <c r="W517" s="23"/>
      <c r="X517" s="23"/>
      <c r="Y517" s="23"/>
      <c r="Z517" s="23"/>
      <c r="AA517" s="23"/>
      <c r="AB517" s="23"/>
    </row>
    <row r="518" spans="11:28" x14ac:dyDescent="0.2">
      <c r="K518" s="23"/>
      <c r="L518" s="23"/>
      <c r="M518" s="23"/>
      <c r="N518" s="23"/>
      <c r="O518" s="23"/>
      <c r="P518" s="23"/>
      <c r="Q518" s="23"/>
      <c r="R518" s="23"/>
      <c r="S518" s="23"/>
      <c r="T518" s="23"/>
      <c r="U518" s="23"/>
      <c r="V518" s="23"/>
      <c r="W518" s="23"/>
      <c r="X518" s="23"/>
      <c r="Y518" s="23"/>
      <c r="Z518" s="23"/>
      <c r="AA518" s="23"/>
      <c r="AB518" s="23"/>
    </row>
    <row r="519" spans="11:28" x14ac:dyDescent="0.2">
      <c r="K519" s="23"/>
      <c r="L519" s="23"/>
      <c r="M519" s="23"/>
      <c r="N519" s="23"/>
      <c r="O519" s="23"/>
      <c r="P519" s="23"/>
      <c r="Q519" s="23"/>
      <c r="R519" s="23"/>
      <c r="S519" s="23"/>
      <c r="T519" s="23"/>
      <c r="U519" s="23"/>
      <c r="V519" s="23"/>
      <c r="W519" s="23"/>
      <c r="X519" s="23"/>
      <c r="Y519" s="23"/>
      <c r="Z519" s="23"/>
      <c r="AA519" s="23"/>
      <c r="AB519" s="23"/>
    </row>
    <row r="520" spans="11:28" x14ac:dyDescent="0.2">
      <c r="K520" s="23"/>
      <c r="L520" s="23"/>
      <c r="M520" s="23"/>
      <c r="N520" s="23"/>
      <c r="O520" s="23"/>
      <c r="P520" s="23"/>
      <c r="Q520" s="23"/>
      <c r="R520" s="23"/>
      <c r="S520" s="23"/>
      <c r="T520" s="23"/>
      <c r="U520" s="23"/>
      <c r="V520" s="23"/>
      <c r="W520" s="23"/>
      <c r="X520" s="23"/>
      <c r="Y520" s="23"/>
      <c r="Z520" s="23"/>
      <c r="AA520" s="23"/>
      <c r="AB520" s="23"/>
    </row>
    <row r="521" spans="11:28" x14ac:dyDescent="0.2">
      <c r="K521" s="23"/>
      <c r="L521" s="23"/>
      <c r="M521" s="23"/>
      <c r="N521" s="23"/>
      <c r="O521" s="23"/>
      <c r="P521" s="23"/>
      <c r="Q521" s="23"/>
      <c r="R521" s="23"/>
      <c r="S521" s="23"/>
      <c r="T521" s="23"/>
      <c r="U521" s="23"/>
      <c r="V521" s="23"/>
      <c r="W521" s="23"/>
      <c r="X521" s="23"/>
      <c r="Y521" s="23"/>
      <c r="Z521" s="23"/>
      <c r="AA521" s="23"/>
      <c r="AB521" s="23"/>
    </row>
    <row r="522" spans="11:28" x14ac:dyDescent="0.2">
      <c r="K522" s="23"/>
      <c r="L522" s="23"/>
      <c r="M522" s="23"/>
      <c r="N522" s="23"/>
      <c r="O522" s="23"/>
      <c r="P522" s="23"/>
      <c r="Q522" s="23"/>
      <c r="R522" s="23"/>
      <c r="S522" s="23"/>
      <c r="T522" s="23"/>
      <c r="U522" s="23"/>
      <c r="V522" s="23"/>
      <c r="W522" s="23"/>
      <c r="X522" s="23"/>
      <c r="Y522" s="23"/>
      <c r="Z522" s="23"/>
      <c r="AA522" s="23"/>
      <c r="AB522" s="23"/>
    </row>
    <row r="523" spans="11:28" x14ac:dyDescent="0.2">
      <c r="K523" s="23"/>
      <c r="L523" s="23"/>
      <c r="M523" s="23"/>
      <c r="N523" s="23"/>
      <c r="O523" s="23"/>
      <c r="P523" s="23"/>
      <c r="Q523" s="23"/>
      <c r="R523" s="23"/>
      <c r="S523" s="23"/>
      <c r="T523" s="23"/>
      <c r="U523" s="23"/>
      <c r="V523" s="23"/>
      <c r="W523" s="23"/>
      <c r="X523" s="23"/>
      <c r="Y523" s="23"/>
      <c r="Z523" s="23"/>
      <c r="AA523" s="23"/>
      <c r="AB523" s="23"/>
    </row>
    <row r="524" spans="11:28" x14ac:dyDescent="0.2">
      <c r="K524" s="23"/>
      <c r="L524" s="23"/>
      <c r="M524" s="23"/>
      <c r="N524" s="23"/>
      <c r="O524" s="23"/>
      <c r="P524" s="23"/>
      <c r="Q524" s="23"/>
      <c r="R524" s="23"/>
      <c r="S524" s="23"/>
      <c r="T524" s="23"/>
      <c r="U524" s="23"/>
      <c r="V524" s="23"/>
      <c r="W524" s="23"/>
      <c r="X524" s="23"/>
      <c r="Y524" s="23"/>
      <c r="Z524" s="23"/>
      <c r="AA524" s="23"/>
      <c r="AB524" s="23"/>
    </row>
    <row r="525" spans="11:28" x14ac:dyDescent="0.2">
      <c r="K525" s="23"/>
      <c r="L525" s="23"/>
      <c r="M525" s="23"/>
      <c r="N525" s="23"/>
      <c r="O525" s="23"/>
      <c r="P525" s="23"/>
      <c r="Q525" s="23"/>
      <c r="R525" s="23"/>
      <c r="S525" s="23"/>
      <c r="T525" s="23"/>
      <c r="U525" s="23"/>
      <c r="V525" s="23"/>
      <c r="W525" s="23"/>
      <c r="X525" s="23"/>
      <c r="Y525" s="23"/>
      <c r="Z525" s="23"/>
      <c r="AA525" s="23"/>
      <c r="AB525" s="23"/>
    </row>
    <row r="526" spans="11:28" x14ac:dyDescent="0.2">
      <c r="K526" s="23"/>
      <c r="L526" s="23"/>
      <c r="M526" s="23"/>
      <c r="N526" s="23"/>
      <c r="O526" s="23"/>
      <c r="P526" s="23"/>
      <c r="Q526" s="23"/>
      <c r="R526" s="23"/>
      <c r="S526" s="23"/>
      <c r="T526" s="23"/>
      <c r="U526" s="23"/>
      <c r="V526" s="23"/>
      <c r="W526" s="23"/>
      <c r="X526" s="23"/>
      <c r="Y526" s="23"/>
      <c r="Z526" s="23"/>
      <c r="AA526" s="23"/>
      <c r="AB526" s="23"/>
    </row>
    <row r="527" spans="11:28" x14ac:dyDescent="0.2">
      <c r="K527" s="23"/>
      <c r="L527" s="23"/>
      <c r="M527" s="23"/>
      <c r="N527" s="23"/>
      <c r="O527" s="23"/>
      <c r="P527" s="23"/>
      <c r="Q527" s="23"/>
      <c r="R527" s="23"/>
      <c r="S527" s="23"/>
      <c r="T527" s="23"/>
      <c r="U527" s="23"/>
      <c r="V527" s="23"/>
      <c r="W527" s="23"/>
      <c r="X527" s="23"/>
      <c r="Y527" s="23"/>
      <c r="Z527" s="23"/>
      <c r="AA527" s="23"/>
      <c r="AB527" s="23"/>
    </row>
    <row r="528" spans="11:28" x14ac:dyDescent="0.2">
      <c r="K528" s="23"/>
      <c r="L528" s="23"/>
      <c r="M528" s="23"/>
      <c r="N528" s="23"/>
      <c r="O528" s="23"/>
      <c r="P528" s="23"/>
      <c r="Q528" s="23"/>
      <c r="R528" s="23"/>
      <c r="S528" s="23"/>
      <c r="T528" s="23"/>
      <c r="U528" s="23"/>
      <c r="V528" s="23"/>
      <c r="W528" s="23"/>
      <c r="X528" s="23"/>
      <c r="Y528" s="23"/>
      <c r="Z528" s="23"/>
      <c r="AA528" s="23"/>
      <c r="AB528" s="23"/>
    </row>
    <row r="529" spans="11:28" x14ac:dyDescent="0.2">
      <c r="K529" s="23"/>
      <c r="L529" s="23"/>
      <c r="M529" s="23"/>
      <c r="N529" s="23"/>
      <c r="O529" s="23"/>
      <c r="P529" s="23"/>
      <c r="Q529" s="23"/>
      <c r="R529" s="23"/>
      <c r="S529" s="23"/>
      <c r="T529" s="23"/>
      <c r="U529" s="23"/>
      <c r="V529" s="23"/>
      <c r="W529" s="23"/>
      <c r="X529" s="23"/>
      <c r="Y529" s="23"/>
      <c r="Z529" s="23"/>
      <c r="AA529" s="23"/>
      <c r="AB529" s="23"/>
    </row>
    <row r="530" spans="11:28" x14ac:dyDescent="0.2">
      <c r="K530" s="23"/>
      <c r="L530" s="23"/>
      <c r="M530" s="23"/>
      <c r="N530" s="23"/>
      <c r="O530" s="23"/>
      <c r="P530" s="23"/>
      <c r="Q530" s="23"/>
      <c r="R530" s="23"/>
      <c r="S530" s="23"/>
      <c r="T530" s="23"/>
      <c r="U530" s="23"/>
      <c r="V530" s="23"/>
      <c r="W530" s="23"/>
      <c r="X530" s="23"/>
      <c r="Y530" s="23"/>
      <c r="Z530" s="23"/>
      <c r="AA530" s="23"/>
      <c r="AB530" s="23"/>
    </row>
    <row r="531" spans="11:28" x14ac:dyDescent="0.2">
      <c r="K531" s="23"/>
      <c r="L531" s="23"/>
      <c r="M531" s="23"/>
      <c r="N531" s="23"/>
      <c r="O531" s="23"/>
      <c r="P531" s="23"/>
      <c r="Q531" s="23"/>
      <c r="R531" s="23"/>
      <c r="S531" s="23"/>
      <c r="T531" s="23"/>
      <c r="U531" s="23"/>
      <c r="V531" s="23"/>
      <c r="W531" s="23"/>
      <c r="X531" s="23"/>
      <c r="Y531" s="23"/>
      <c r="Z531" s="23"/>
      <c r="AA531" s="23"/>
      <c r="AB531" s="23"/>
    </row>
    <row r="532" spans="11:28" x14ac:dyDescent="0.2">
      <c r="K532" s="23"/>
      <c r="L532" s="23"/>
      <c r="M532" s="23"/>
      <c r="N532" s="23"/>
      <c r="O532" s="23"/>
      <c r="P532" s="23"/>
      <c r="Q532" s="23"/>
      <c r="R532" s="23"/>
      <c r="S532" s="23"/>
      <c r="T532" s="23"/>
      <c r="U532" s="23"/>
      <c r="V532" s="23"/>
      <c r="W532" s="23"/>
      <c r="X532" s="23"/>
      <c r="Y532" s="23"/>
      <c r="Z532" s="23"/>
      <c r="AA532" s="23"/>
      <c r="AB532" s="23"/>
    </row>
    <row r="533" spans="11:28" x14ac:dyDescent="0.2">
      <c r="K533" s="23"/>
      <c r="L533" s="23"/>
      <c r="M533" s="23"/>
      <c r="N533" s="23"/>
      <c r="O533" s="23"/>
      <c r="P533" s="23"/>
      <c r="Q533" s="23"/>
      <c r="R533" s="23"/>
      <c r="S533" s="23"/>
      <c r="T533" s="23"/>
      <c r="U533" s="23"/>
      <c r="V533" s="23"/>
      <c r="W533" s="23"/>
      <c r="X533" s="23"/>
      <c r="Y533" s="23"/>
      <c r="Z533" s="23"/>
      <c r="AA533" s="23"/>
      <c r="AB533" s="23"/>
    </row>
    <row r="534" spans="11:28" x14ac:dyDescent="0.2">
      <c r="K534" s="23"/>
      <c r="L534" s="23"/>
      <c r="M534" s="23"/>
      <c r="N534" s="23"/>
      <c r="O534" s="23"/>
      <c r="P534" s="23"/>
      <c r="Q534" s="23"/>
      <c r="R534" s="23"/>
      <c r="S534" s="23"/>
      <c r="T534" s="23"/>
      <c r="U534" s="23"/>
      <c r="V534" s="23"/>
      <c r="W534" s="23"/>
      <c r="X534" s="23"/>
      <c r="Y534" s="23"/>
      <c r="Z534" s="23"/>
      <c r="AA534" s="23"/>
      <c r="AB534" s="23"/>
    </row>
    <row r="535" spans="11:28" x14ac:dyDescent="0.2">
      <c r="K535" s="23"/>
      <c r="L535" s="23"/>
      <c r="M535" s="23"/>
      <c r="N535" s="23"/>
      <c r="O535" s="23"/>
      <c r="P535" s="23"/>
      <c r="Q535" s="23"/>
      <c r="R535" s="23"/>
      <c r="S535" s="23"/>
      <c r="T535" s="23"/>
      <c r="U535" s="23"/>
      <c r="V535" s="23"/>
      <c r="W535" s="23"/>
      <c r="X535" s="23"/>
      <c r="Y535" s="23"/>
      <c r="Z535" s="23"/>
      <c r="AA535" s="23"/>
      <c r="AB535" s="23"/>
    </row>
    <row r="536" spans="11:28" x14ac:dyDescent="0.2">
      <c r="K536" s="23"/>
      <c r="L536" s="23"/>
      <c r="M536" s="23"/>
      <c r="N536" s="23"/>
      <c r="O536" s="23"/>
      <c r="P536" s="23"/>
      <c r="Q536" s="23"/>
      <c r="R536" s="23"/>
      <c r="S536" s="23"/>
      <c r="T536" s="23"/>
      <c r="U536" s="23"/>
      <c r="V536" s="23"/>
      <c r="W536" s="23"/>
      <c r="X536" s="23"/>
      <c r="Y536" s="23"/>
      <c r="Z536" s="23"/>
      <c r="AA536" s="23"/>
      <c r="AB536" s="23"/>
    </row>
    <row r="537" spans="11:28" x14ac:dyDescent="0.2">
      <c r="K537" s="23"/>
      <c r="L537" s="23"/>
      <c r="M537" s="23"/>
      <c r="N537" s="23"/>
      <c r="O537" s="23"/>
      <c r="P537" s="23"/>
      <c r="Q537" s="23"/>
      <c r="R537" s="23"/>
      <c r="S537" s="23"/>
      <c r="T537" s="23"/>
      <c r="U537" s="23"/>
      <c r="V537" s="23"/>
      <c r="W537" s="23"/>
      <c r="X537" s="23"/>
      <c r="Y537" s="23"/>
      <c r="Z537" s="23"/>
      <c r="AA537" s="23"/>
      <c r="AB537" s="23"/>
    </row>
    <row r="538" spans="11:28" x14ac:dyDescent="0.2">
      <c r="K538" s="23"/>
      <c r="L538" s="23"/>
      <c r="M538" s="23"/>
      <c r="N538" s="23"/>
      <c r="O538" s="23"/>
      <c r="P538" s="23"/>
      <c r="Q538" s="23"/>
      <c r="R538" s="23"/>
      <c r="S538" s="23"/>
      <c r="T538" s="23"/>
      <c r="U538" s="23"/>
      <c r="V538" s="23"/>
      <c r="W538" s="23"/>
      <c r="X538" s="23"/>
      <c r="Y538" s="23"/>
      <c r="Z538" s="23"/>
      <c r="AA538" s="23"/>
      <c r="AB538" s="23"/>
    </row>
    <row r="539" spans="11:28" x14ac:dyDescent="0.2">
      <c r="K539" s="23"/>
      <c r="L539" s="23"/>
      <c r="M539" s="23"/>
      <c r="N539" s="23"/>
      <c r="O539" s="23"/>
      <c r="P539" s="23"/>
      <c r="Q539" s="23"/>
      <c r="R539" s="23"/>
      <c r="S539" s="23"/>
      <c r="T539" s="23"/>
      <c r="U539" s="23"/>
      <c r="V539" s="23"/>
      <c r="W539" s="23"/>
      <c r="X539" s="23"/>
      <c r="Y539" s="23"/>
      <c r="Z539" s="23"/>
      <c r="AA539" s="23"/>
      <c r="AB539" s="23"/>
    </row>
    <row r="540" spans="11:28" x14ac:dyDescent="0.2">
      <c r="K540" s="23"/>
      <c r="L540" s="23"/>
      <c r="M540" s="23"/>
      <c r="N540" s="23"/>
      <c r="O540" s="23"/>
      <c r="P540" s="23"/>
      <c r="Q540" s="23"/>
      <c r="R540" s="23"/>
      <c r="S540" s="23"/>
      <c r="T540" s="23"/>
      <c r="U540" s="23"/>
      <c r="V540" s="23"/>
      <c r="W540" s="23"/>
      <c r="X540" s="23"/>
      <c r="Y540" s="23"/>
      <c r="Z540" s="23"/>
      <c r="AA540" s="23"/>
      <c r="AB540" s="23"/>
    </row>
    <row r="541" spans="11:28" x14ac:dyDescent="0.2">
      <c r="K541" s="23"/>
      <c r="L541" s="23"/>
      <c r="M541" s="23"/>
      <c r="N541" s="23"/>
      <c r="O541" s="23"/>
      <c r="P541" s="23"/>
      <c r="Q541" s="23"/>
      <c r="R541" s="23"/>
      <c r="S541" s="23"/>
      <c r="T541" s="23"/>
      <c r="U541" s="23"/>
      <c r="V541" s="23"/>
      <c r="W541" s="23"/>
      <c r="X541" s="23"/>
      <c r="Y541" s="23"/>
      <c r="Z541" s="23"/>
      <c r="AA541" s="23"/>
      <c r="AB541" s="23"/>
    </row>
    <row r="542" spans="11:28" x14ac:dyDescent="0.2">
      <c r="K542" s="23"/>
      <c r="L542" s="23"/>
      <c r="M542" s="23"/>
      <c r="N542" s="23"/>
      <c r="O542" s="23"/>
      <c r="P542" s="23"/>
      <c r="Q542" s="23"/>
      <c r="R542" s="23"/>
      <c r="S542" s="23"/>
      <c r="T542" s="23"/>
      <c r="U542" s="23"/>
      <c r="V542" s="23"/>
      <c r="W542" s="23"/>
      <c r="X542" s="23"/>
      <c r="Y542" s="23"/>
      <c r="Z542" s="23"/>
      <c r="AA542" s="23"/>
      <c r="AB542" s="23"/>
    </row>
    <row r="543" spans="11:28" x14ac:dyDescent="0.2">
      <c r="K543" s="23"/>
      <c r="L543" s="23"/>
      <c r="M543" s="23"/>
      <c r="N543" s="23"/>
      <c r="O543" s="23"/>
      <c r="P543" s="23"/>
      <c r="Q543" s="23"/>
      <c r="R543" s="23"/>
      <c r="S543" s="23"/>
      <c r="T543" s="23"/>
      <c r="U543" s="23"/>
      <c r="V543" s="23"/>
      <c r="W543" s="23"/>
      <c r="X543" s="23"/>
      <c r="Y543" s="23"/>
      <c r="Z543" s="23"/>
      <c r="AA543" s="23"/>
      <c r="AB543" s="23"/>
    </row>
    <row r="544" spans="11:28" x14ac:dyDescent="0.2">
      <c r="K544" s="23"/>
      <c r="L544" s="23"/>
      <c r="M544" s="23"/>
      <c r="N544" s="23"/>
      <c r="O544" s="23"/>
      <c r="P544" s="23"/>
      <c r="Q544" s="23"/>
      <c r="R544" s="23"/>
      <c r="S544" s="23"/>
      <c r="T544" s="23"/>
      <c r="U544" s="23"/>
      <c r="V544" s="23"/>
      <c r="W544" s="23"/>
      <c r="X544" s="23"/>
      <c r="Y544" s="23"/>
      <c r="Z544" s="23"/>
      <c r="AA544" s="23"/>
      <c r="AB544" s="23"/>
    </row>
    <row r="545" spans="11:28" x14ac:dyDescent="0.2">
      <c r="K545" s="23"/>
      <c r="L545" s="23"/>
      <c r="M545" s="23"/>
      <c r="N545" s="23"/>
      <c r="O545" s="23"/>
      <c r="P545" s="23"/>
      <c r="Q545" s="23"/>
      <c r="R545" s="23"/>
      <c r="S545" s="23"/>
      <c r="T545" s="23"/>
      <c r="U545" s="23"/>
      <c r="V545" s="23"/>
      <c r="W545" s="23"/>
      <c r="X545" s="23"/>
      <c r="Y545" s="23"/>
      <c r="Z545" s="23"/>
      <c r="AA545" s="23"/>
      <c r="AB545" s="23"/>
    </row>
    <row r="546" spans="11:28" x14ac:dyDescent="0.2">
      <c r="K546" s="23"/>
      <c r="L546" s="23"/>
      <c r="M546" s="23"/>
      <c r="N546" s="23"/>
      <c r="O546" s="23"/>
      <c r="P546" s="23"/>
      <c r="Q546" s="23"/>
      <c r="R546" s="23"/>
      <c r="S546" s="23"/>
      <c r="T546" s="23"/>
      <c r="U546" s="23"/>
      <c r="V546" s="23"/>
      <c r="W546" s="23"/>
      <c r="X546" s="23"/>
      <c r="Y546" s="23"/>
      <c r="Z546" s="23"/>
      <c r="AA546" s="23"/>
      <c r="AB546" s="23"/>
    </row>
    <row r="547" spans="11:28" x14ac:dyDescent="0.2">
      <c r="K547" s="23"/>
      <c r="L547" s="23"/>
      <c r="M547" s="23"/>
      <c r="N547" s="23"/>
      <c r="O547" s="23"/>
      <c r="P547" s="23"/>
      <c r="Q547" s="23"/>
      <c r="R547" s="23"/>
      <c r="S547" s="23"/>
      <c r="T547" s="23"/>
      <c r="U547" s="23"/>
      <c r="V547" s="23"/>
      <c r="W547" s="23"/>
      <c r="X547" s="23"/>
      <c r="Y547" s="23"/>
      <c r="Z547" s="23"/>
      <c r="AA547" s="23"/>
      <c r="AB547" s="23"/>
    </row>
    <row r="548" spans="11:28" x14ac:dyDescent="0.2">
      <c r="K548" s="23"/>
      <c r="L548" s="23"/>
      <c r="M548" s="23"/>
      <c r="N548" s="23"/>
      <c r="O548" s="23"/>
      <c r="P548" s="23"/>
      <c r="Q548" s="23"/>
      <c r="R548" s="23"/>
      <c r="S548" s="23"/>
      <c r="T548" s="23"/>
      <c r="U548" s="23"/>
      <c r="V548" s="23"/>
      <c r="W548" s="23"/>
      <c r="X548" s="23"/>
      <c r="Y548" s="23"/>
      <c r="Z548" s="23"/>
      <c r="AA548" s="23"/>
      <c r="AB548" s="23"/>
    </row>
    <row r="549" spans="11:28" x14ac:dyDescent="0.2">
      <c r="K549" s="23"/>
      <c r="L549" s="23"/>
      <c r="M549" s="23"/>
      <c r="N549" s="23"/>
      <c r="O549" s="23"/>
      <c r="P549" s="23"/>
      <c r="Q549" s="23"/>
      <c r="R549" s="23"/>
      <c r="S549" s="23"/>
      <c r="T549" s="23"/>
      <c r="U549" s="23"/>
      <c r="V549" s="23"/>
      <c r="W549" s="23"/>
      <c r="X549" s="23"/>
      <c r="Y549" s="23"/>
      <c r="Z549" s="23"/>
      <c r="AA549" s="23"/>
      <c r="AB549" s="23"/>
    </row>
    <row r="550" spans="11:28" x14ac:dyDescent="0.2">
      <c r="K550" s="23"/>
      <c r="L550" s="23"/>
      <c r="M550" s="23"/>
      <c r="N550" s="23"/>
      <c r="O550" s="23"/>
      <c r="P550" s="23"/>
      <c r="Q550" s="23"/>
      <c r="R550" s="23"/>
      <c r="S550" s="23"/>
      <c r="T550" s="23"/>
      <c r="U550" s="23"/>
      <c r="V550" s="23"/>
      <c r="W550" s="23"/>
      <c r="X550" s="23"/>
      <c r="Y550" s="23"/>
      <c r="Z550" s="23"/>
      <c r="AA550" s="23"/>
      <c r="AB550" s="23"/>
    </row>
    <row r="551" spans="11:28" x14ac:dyDescent="0.2">
      <c r="K551" s="23"/>
      <c r="L551" s="23"/>
      <c r="M551" s="23"/>
      <c r="N551" s="23"/>
      <c r="O551" s="23"/>
      <c r="P551" s="23"/>
      <c r="Q551" s="23"/>
      <c r="R551" s="23"/>
      <c r="S551" s="23"/>
      <c r="T551" s="23"/>
      <c r="U551" s="23"/>
      <c r="V551" s="23"/>
      <c r="W551" s="23"/>
      <c r="X551" s="23"/>
      <c r="Y551" s="23"/>
      <c r="Z551" s="23"/>
      <c r="AA551" s="23"/>
      <c r="AB551" s="23"/>
    </row>
    <row r="552" spans="11:28" x14ac:dyDescent="0.2">
      <c r="K552" s="23"/>
      <c r="L552" s="23"/>
      <c r="M552" s="23"/>
      <c r="N552" s="23"/>
      <c r="O552" s="23"/>
      <c r="P552" s="23"/>
      <c r="Q552" s="23"/>
      <c r="R552" s="23"/>
      <c r="S552" s="23"/>
      <c r="T552" s="23"/>
      <c r="U552" s="23"/>
      <c r="V552" s="23"/>
      <c r="W552" s="23"/>
      <c r="X552" s="23"/>
      <c r="Y552" s="23"/>
      <c r="Z552" s="23"/>
      <c r="AA552" s="23"/>
      <c r="AB552" s="23"/>
    </row>
    <row r="553" spans="11:28" x14ac:dyDescent="0.2">
      <c r="K553" s="23"/>
      <c r="L553" s="23"/>
      <c r="M553" s="23"/>
      <c r="N553" s="23"/>
      <c r="O553" s="23"/>
      <c r="P553" s="23"/>
      <c r="Q553" s="23"/>
      <c r="R553" s="23"/>
      <c r="S553" s="23"/>
      <c r="T553" s="23"/>
      <c r="U553" s="23"/>
      <c r="V553" s="23"/>
      <c r="W553" s="23"/>
      <c r="X553" s="23"/>
      <c r="Y553" s="23"/>
      <c r="Z553" s="23"/>
      <c r="AA553" s="23"/>
      <c r="AB553" s="23"/>
    </row>
    <row r="554" spans="11:28" x14ac:dyDescent="0.2">
      <c r="K554" s="23"/>
      <c r="L554" s="23"/>
      <c r="M554" s="23"/>
      <c r="N554" s="23"/>
      <c r="O554" s="23"/>
      <c r="P554" s="23"/>
      <c r="Q554" s="23"/>
      <c r="R554" s="23"/>
      <c r="S554" s="23"/>
      <c r="T554" s="23"/>
      <c r="U554" s="23"/>
      <c r="V554" s="23"/>
      <c r="W554" s="23"/>
      <c r="X554" s="23"/>
      <c r="Y554" s="23"/>
      <c r="Z554" s="23"/>
      <c r="AA554" s="23"/>
      <c r="AB554" s="23"/>
    </row>
    <row r="555" spans="11:28" x14ac:dyDescent="0.2">
      <c r="K555" s="23"/>
      <c r="L555" s="23"/>
      <c r="M555" s="23"/>
      <c r="N555" s="23"/>
      <c r="O555" s="23"/>
      <c r="P555" s="23"/>
      <c r="Q555" s="23"/>
      <c r="R555" s="23"/>
      <c r="S555" s="23"/>
      <c r="T555" s="23"/>
      <c r="U555" s="23"/>
      <c r="V555" s="23"/>
      <c r="W555" s="23"/>
      <c r="X555" s="23"/>
      <c r="Y555" s="23"/>
      <c r="Z555" s="23"/>
      <c r="AA555" s="23"/>
      <c r="AB555" s="23"/>
    </row>
    <row r="556" spans="11:28" x14ac:dyDescent="0.2">
      <c r="K556" s="23"/>
      <c r="L556" s="23"/>
      <c r="M556" s="23"/>
      <c r="N556" s="23"/>
      <c r="O556" s="23"/>
      <c r="P556" s="23"/>
      <c r="Q556" s="23"/>
      <c r="R556" s="23"/>
      <c r="S556" s="23"/>
      <c r="T556" s="23"/>
      <c r="U556" s="23"/>
      <c r="V556" s="23"/>
      <c r="W556" s="23"/>
      <c r="X556" s="23"/>
      <c r="Y556" s="23"/>
      <c r="Z556" s="23"/>
      <c r="AA556" s="23"/>
      <c r="AB556" s="23"/>
    </row>
    <row r="557" spans="11:28" x14ac:dyDescent="0.2">
      <c r="K557" s="23"/>
      <c r="L557" s="23"/>
      <c r="M557" s="23"/>
      <c r="N557" s="23"/>
      <c r="O557" s="23"/>
      <c r="P557" s="23"/>
      <c r="Q557" s="23"/>
      <c r="R557" s="23"/>
      <c r="S557" s="23"/>
      <c r="T557" s="23"/>
      <c r="U557" s="23"/>
      <c r="V557" s="23"/>
      <c r="W557" s="23"/>
      <c r="X557" s="23"/>
      <c r="Y557" s="23"/>
      <c r="Z557" s="23"/>
      <c r="AA557" s="23"/>
      <c r="AB557" s="23"/>
    </row>
    <row r="558" spans="11:28" x14ac:dyDescent="0.2">
      <c r="K558" s="23"/>
      <c r="L558" s="23"/>
      <c r="M558" s="23"/>
      <c r="N558" s="23"/>
      <c r="O558" s="23"/>
      <c r="P558" s="23"/>
      <c r="Q558" s="23"/>
      <c r="R558" s="23"/>
      <c r="S558" s="23"/>
      <c r="T558" s="23"/>
      <c r="U558" s="23"/>
      <c r="V558" s="23"/>
      <c r="W558" s="23"/>
      <c r="X558" s="23"/>
      <c r="Y558" s="23"/>
      <c r="Z558" s="23"/>
      <c r="AA558" s="23"/>
      <c r="AB558" s="23"/>
    </row>
    <row r="559" spans="11:28" x14ac:dyDescent="0.2">
      <c r="K559" s="23"/>
      <c r="L559" s="23"/>
      <c r="M559" s="23"/>
      <c r="N559" s="23"/>
      <c r="O559" s="23"/>
      <c r="P559" s="23"/>
      <c r="Q559" s="23"/>
      <c r="R559" s="23"/>
      <c r="S559" s="23"/>
      <c r="T559" s="23"/>
      <c r="U559" s="23"/>
      <c r="V559" s="23"/>
      <c r="W559" s="23"/>
      <c r="X559" s="23"/>
      <c r="Y559" s="23"/>
      <c r="Z559" s="23"/>
      <c r="AA559" s="23"/>
      <c r="AB559" s="23"/>
    </row>
    <row r="560" spans="11:28" x14ac:dyDescent="0.2">
      <c r="K560" s="23"/>
      <c r="L560" s="23"/>
      <c r="M560" s="23"/>
      <c r="N560" s="23"/>
      <c r="O560" s="23"/>
      <c r="P560" s="23"/>
      <c r="Q560" s="23"/>
      <c r="R560" s="23"/>
      <c r="S560" s="23"/>
      <c r="T560" s="23"/>
      <c r="U560" s="23"/>
      <c r="V560" s="23"/>
      <c r="W560" s="23"/>
      <c r="X560" s="23"/>
      <c r="Y560" s="23"/>
      <c r="Z560" s="23"/>
      <c r="AA560" s="23"/>
      <c r="AB560" s="23"/>
    </row>
    <row r="561" spans="11:28" x14ac:dyDescent="0.2">
      <c r="K561" s="23"/>
      <c r="L561" s="23"/>
      <c r="M561" s="23"/>
      <c r="N561" s="23"/>
      <c r="O561" s="23"/>
      <c r="P561" s="23"/>
      <c r="Q561" s="23"/>
      <c r="R561" s="23"/>
      <c r="S561" s="23"/>
      <c r="T561" s="23"/>
      <c r="U561" s="23"/>
      <c r="V561" s="23"/>
      <c r="W561" s="23"/>
      <c r="X561" s="23"/>
      <c r="Y561" s="23"/>
      <c r="Z561" s="23"/>
      <c r="AA561" s="23"/>
      <c r="AB561" s="23"/>
    </row>
    <row r="562" spans="11:28" x14ac:dyDescent="0.2">
      <c r="K562" s="23"/>
      <c r="L562" s="23"/>
      <c r="M562" s="23"/>
      <c r="N562" s="23"/>
      <c r="O562" s="23"/>
      <c r="P562" s="23"/>
      <c r="Q562" s="23"/>
      <c r="R562" s="23"/>
      <c r="S562" s="23"/>
      <c r="T562" s="23"/>
      <c r="U562" s="23"/>
      <c r="V562" s="23"/>
      <c r="W562" s="23"/>
      <c r="X562" s="23"/>
      <c r="Y562" s="23"/>
      <c r="Z562" s="23"/>
      <c r="AA562" s="23"/>
      <c r="AB562" s="23"/>
    </row>
    <row r="563" spans="11:28" x14ac:dyDescent="0.2">
      <c r="K563" s="23"/>
      <c r="L563" s="23"/>
      <c r="M563" s="23"/>
      <c r="N563" s="23"/>
      <c r="O563" s="23"/>
      <c r="P563" s="23"/>
      <c r="Q563" s="23"/>
      <c r="R563" s="23"/>
      <c r="S563" s="23"/>
      <c r="T563" s="23"/>
      <c r="U563" s="23"/>
      <c r="V563" s="23"/>
      <c r="W563" s="23"/>
      <c r="X563" s="23"/>
      <c r="Y563" s="23"/>
      <c r="Z563" s="23"/>
      <c r="AA563" s="23"/>
      <c r="AB563" s="23"/>
    </row>
    <row r="564" spans="11:28" x14ac:dyDescent="0.2">
      <c r="K564" s="23"/>
      <c r="L564" s="23"/>
      <c r="M564" s="23"/>
      <c r="N564" s="23"/>
      <c r="O564" s="23"/>
      <c r="P564" s="23"/>
      <c r="Q564" s="23"/>
      <c r="R564" s="23"/>
      <c r="S564" s="23"/>
      <c r="T564" s="23"/>
      <c r="U564" s="23"/>
      <c r="V564" s="23"/>
      <c r="W564" s="23"/>
      <c r="X564" s="23"/>
      <c r="Y564" s="23"/>
      <c r="Z564" s="23"/>
      <c r="AA564" s="23"/>
      <c r="AB564" s="23"/>
    </row>
    <row r="565" spans="11:28" x14ac:dyDescent="0.2">
      <c r="K565" s="23"/>
      <c r="L565" s="23"/>
      <c r="M565" s="23"/>
      <c r="N565" s="23"/>
      <c r="O565" s="23"/>
      <c r="P565" s="23"/>
      <c r="Q565" s="23"/>
      <c r="R565" s="23"/>
      <c r="S565" s="23"/>
      <c r="T565" s="23"/>
      <c r="U565" s="23"/>
      <c r="V565" s="23"/>
      <c r="W565" s="23"/>
      <c r="X565" s="23"/>
      <c r="Y565" s="23"/>
      <c r="Z565" s="23"/>
      <c r="AA565" s="23"/>
      <c r="AB565" s="23"/>
    </row>
    <row r="566" spans="11:28" x14ac:dyDescent="0.2">
      <c r="K566" s="23"/>
      <c r="L566" s="23"/>
      <c r="M566" s="23"/>
      <c r="N566" s="23"/>
      <c r="O566" s="23"/>
      <c r="P566" s="23"/>
      <c r="Q566" s="23"/>
      <c r="R566" s="23"/>
      <c r="S566" s="23"/>
      <c r="T566" s="23"/>
      <c r="U566" s="23"/>
      <c r="V566" s="23"/>
      <c r="W566" s="23"/>
      <c r="X566" s="23"/>
      <c r="Y566" s="23"/>
      <c r="Z566" s="23"/>
      <c r="AA566" s="23"/>
      <c r="AB566" s="23"/>
    </row>
    <row r="567" spans="11:28" x14ac:dyDescent="0.2">
      <c r="K567" s="23"/>
      <c r="L567" s="23"/>
      <c r="M567" s="23"/>
      <c r="N567" s="23"/>
      <c r="O567" s="23"/>
      <c r="P567" s="23"/>
      <c r="Q567" s="23"/>
      <c r="R567" s="23"/>
      <c r="S567" s="23"/>
      <c r="T567" s="23"/>
      <c r="U567" s="23"/>
      <c r="V567" s="23"/>
      <c r="W567" s="23"/>
      <c r="X567" s="23"/>
      <c r="Y567" s="23"/>
      <c r="Z567" s="23"/>
      <c r="AA567" s="23"/>
      <c r="AB567" s="23"/>
    </row>
    <row r="568" spans="11:28" x14ac:dyDescent="0.2">
      <c r="K568" s="23"/>
      <c r="L568" s="23"/>
      <c r="M568" s="23"/>
      <c r="N568" s="23"/>
      <c r="O568" s="23"/>
      <c r="P568" s="23"/>
      <c r="Q568" s="23"/>
      <c r="R568" s="23"/>
      <c r="S568" s="23"/>
      <c r="T568" s="23"/>
      <c r="U568" s="23"/>
      <c r="V568" s="23"/>
      <c r="W568" s="23"/>
      <c r="X568" s="23"/>
      <c r="Y568" s="23"/>
      <c r="Z568" s="23"/>
      <c r="AA568" s="23"/>
      <c r="AB568" s="23"/>
    </row>
    <row r="569" spans="11:28" x14ac:dyDescent="0.2">
      <c r="K569" s="23"/>
      <c r="L569" s="23"/>
      <c r="M569" s="23"/>
      <c r="N569" s="23"/>
      <c r="O569" s="23"/>
      <c r="P569" s="23"/>
      <c r="Q569" s="23"/>
      <c r="R569" s="23"/>
      <c r="S569" s="23"/>
      <c r="T569" s="23"/>
      <c r="U569" s="23"/>
      <c r="V569" s="23"/>
      <c r="W569" s="23"/>
      <c r="X569" s="23"/>
      <c r="Y569" s="23"/>
      <c r="Z569" s="23"/>
      <c r="AA569" s="23"/>
      <c r="AB569" s="23"/>
    </row>
    <row r="570" spans="11:28" x14ac:dyDescent="0.2">
      <c r="K570" s="23"/>
      <c r="L570" s="23"/>
      <c r="M570" s="23"/>
      <c r="N570" s="23"/>
      <c r="O570" s="23"/>
      <c r="P570" s="23"/>
      <c r="Q570" s="23"/>
      <c r="R570" s="23"/>
      <c r="S570" s="23"/>
      <c r="T570" s="23"/>
      <c r="U570" s="23"/>
      <c r="V570" s="23"/>
      <c r="W570" s="23"/>
      <c r="X570" s="23"/>
      <c r="Y570" s="23"/>
      <c r="Z570" s="23"/>
      <c r="AA570" s="23"/>
      <c r="AB570" s="23"/>
    </row>
    <row r="571" spans="11:28" x14ac:dyDescent="0.2">
      <c r="K571" s="23"/>
      <c r="L571" s="23"/>
      <c r="M571" s="23"/>
      <c r="N571" s="23"/>
      <c r="O571" s="23"/>
      <c r="P571" s="23"/>
      <c r="Q571" s="23"/>
      <c r="R571" s="23"/>
      <c r="S571" s="23"/>
      <c r="T571" s="23"/>
      <c r="U571" s="23"/>
      <c r="V571" s="23"/>
      <c r="W571" s="23"/>
      <c r="X571" s="23"/>
      <c r="Y571" s="23"/>
      <c r="Z571" s="23"/>
      <c r="AA571" s="23"/>
      <c r="AB571" s="23"/>
    </row>
    <row r="572" spans="11:28" x14ac:dyDescent="0.2">
      <c r="K572" s="23"/>
      <c r="L572" s="23"/>
      <c r="M572" s="23"/>
      <c r="N572" s="23"/>
      <c r="O572" s="23"/>
      <c r="P572" s="23"/>
      <c r="Q572" s="23"/>
      <c r="R572" s="23"/>
      <c r="S572" s="23"/>
      <c r="T572" s="23"/>
      <c r="U572" s="23"/>
      <c r="V572" s="23"/>
      <c r="W572" s="23"/>
      <c r="X572" s="23"/>
      <c r="Y572" s="23"/>
      <c r="Z572" s="23"/>
      <c r="AA572" s="23"/>
      <c r="AB572" s="23"/>
    </row>
    <row r="573" spans="11:28" x14ac:dyDescent="0.2">
      <c r="K573" s="23"/>
      <c r="L573" s="23"/>
      <c r="M573" s="23"/>
      <c r="N573" s="23"/>
      <c r="O573" s="23"/>
      <c r="P573" s="23"/>
      <c r="Q573" s="23"/>
      <c r="R573" s="23"/>
      <c r="S573" s="23"/>
      <c r="T573" s="23"/>
      <c r="U573" s="23"/>
      <c r="V573" s="23"/>
      <c r="W573" s="23"/>
      <c r="X573" s="23"/>
      <c r="Y573" s="23"/>
      <c r="Z573" s="23"/>
      <c r="AA573" s="23"/>
      <c r="AB573" s="23"/>
    </row>
    <row r="574" spans="11:28" x14ac:dyDescent="0.2">
      <c r="K574" s="23"/>
      <c r="L574" s="23"/>
      <c r="M574" s="23"/>
      <c r="N574" s="23"/>
      <c r="O574" s="23"/>
      <c r="P574" s="23"/>
      <c r="Q574" s="23"/>
      <c r="R574" s="23"/>
      <c r="S574" s="23"/>
      <c r="T574" s="23"/>
      <c r="U574" s="23"/>
      <c r="V574" s="23"/>
      <c r="W574" s="23"/>
      <c r="X574" s="23"/>
      <c r="Y574" s="23"/>
      <c r="Z574" s="23"/>
      <c r="AA574" s="23"/>
      <c r="AB574" s="23"/>
    </row>
    <row r="575" spans="11:28" x14ac:dyDescent="0.2">
      <c r="K575" s="23"/>
      <c r="L575" s="23"/>
      <c r="M575" s="23"/>
      <c r="N575" s="23"/>
      <c r="O575" s="23"/>
      <c r="P575" s="23"/>
      <c r="Q575" s="23"/>
      <c r="R575" s="23"/>
      <c r="S575" s="23"/>
      <c r="T575" s="23"/>
      <c r="U575" s="23"/>
      <c r="V575" s="23"/>
      <c r="W575" s="23"/>
      <c r="X575" s="23"/>
      <c r="Y575" s="23"/>
      <c r="Z575" s="23"/>
      <c r="AA575" s="23"/>
      <c r="AB575" s="23"/>
    </row>
    <row r="576" spans="11:28" x14ac:dyDescent="0.2">
      <c r="K576" s="23"/>
      <c r="L576" s="23"/>
      <c r="M576" s="23"/>
      <c r="N576" s="23"/>
      <c r="O576" s="23"/>
      <c r="P576" s="23"/>
      <c r="Q576" s="23"/>
      <c r="R576" s="23"/>
      <c r="S576" s="23"/>
      <c r="T576" s="23"/>
      <c r="U576" s="23"/>
      <c r="V576" s="23"/>
      <c r="W576" s="23"/>
      <c r="X576" s="23"/>
      <c r="Y576" s="23"/>
      <c r="Z576" s="23"/>
      <c r="AA576" s="23"/>
      <c r="AB576" s="23"/>
    </row>
    <row r="577" spans="11:28" x14ac:dyDescent="0.2">
      <c r="K577" s="23"/>
      <c r="L577" s="23"/>
      <c r="M577" s="23"/>
      <c r="N577" s="23"/>
      <c r="O577" s="23"/>
      <c r="P577" s="23"/>
      <c r="Q577" s="23"/>
      <c r="R577" s="23"/>
      <c r="S577" s="23"/>
      <c r="T577" s="23"/>
      <c r="U577" s="23"/>
      <c r="V577" s="23"/>
      <c r="W577" s="23"/>
      <c r="X577" s="23"/>
      <c r="Y577" s="23"/>
      <c r="Z577" s="23"/>
      <c r="AA577" s="23"/>
      <c r="AB577" s="23"/>
    </row>
    <row r="578" spans="11:28" x14ac:dyDescent="0.2">
      <c r="K578" s="23"/>
      <c r="L578" s="23"/>
      <c r="M578" s="23"/>
      <c r="N578" s="23"/>
      <c r="O578" s="23"/>
      <c r="P578" s="23"/>
      <c r="Q578" s="23"/>
      <c r="R578" s="23"/>
      <c r="S578" s="23"/>
      <c r="T578" s="23"/>
      <c r="U578" s="23"/>
      <c r="V578" s="23"/>
      <c r="W578" s="23"/>
      <c r="X578" s="23"/>
      <c r="Y578" s="23"/>
      <c r="Z578" s="23"/>
      <c r="AA578" s="23"/>
      <c r="AB578" s="23"/>
    </row>
    <row r="579" spans="11:28" x14ac:dyDescent="0.2">
      <c r="K579" s="23"/>
      <c r="L579" s="23"/>
      <c r="M579" s="23"/>
      <c r="N579" s="23"/>
      <c r="O579" s="23"/>
      <c r="P579" s="23"/>
      <c r="Q579" s="23"/>
      <c r="R579" s="23"/>
      <c r="S579" s="23"/>
      <c r="T579" s="23"/>
      <c r="U579" s="23"/>
      <c r="V579" s="23"/>
      <c r="W579" s="23"/>
      <c r="X579" s="23"/>
      <c r="Y579" s="23"/>
      <c r="Z579" s="23"/>
      <c r="AA579" s="23"/>
      <c r="AB579" s="23"/>
    </row>
    <row r="580" spans="11:28" x14ac:dyDescent="0.2">
      <c r="K580" s="23"/>
      <c r="L580" s="23"/>
      <c r="M580" s="23"/>
      <c r="N580" s="23"/>
      <c r="O580" s="23"/>
      <c r="P580" s="23"/>
      <c r="Q580" s="23"/>
      <c r="R580" s="23"/>
      <c r="S580" s="23"/>
      <c r="T580" s="23"/>
      <c r="U580" s="23"/>
      <c r="V580" s="23"/>
      <c r="W580" s="23"/>
      <c r="X580" s="23"/>
      <c r="Y580" s="23"/>
      <c r="Z580" s="23"/>
      <c r="AA580" s="23"/>
      <c r="AB580" s="23"/>
    </row>
    <row r="581" spans="11:28" x14ac:dyDescent="0.2">
      <c r="K581" s="23"/>
      <c r="L581" s="23"/>
      <c r="M581" s="23"/>
      <c r="N581" s="23"/>
      <c r="O581" s="23"/>
      <c r="P581" s="23"/>
      <c r="Q581" s="23"/>
      <c r="R581" s="23"/>
      <c r="S581" s="23"/>
      <c r="T581" s="23"/>
      <c r="U581" s="23"/>
      <c r="V581" s="23"/>
      <c r="W581" s="23"/>
      <c r="X581" s="23"/>
      <c r="Y581" s="23"/>
      <c r="Z581" s="23"/>
      <c r="AA581" s="23"/>
      <c r="AB581" s="23"/>
    </row>
    <row r="582" spans="11:28" x14ac:dyDescent="0.2">
      <c r="K582" s="23"/>
      <c r="L582" s="23"/>
      <c r="M582" s="23"/>
      <c r="N582" s="23"/>
      <c r="O582" s="23"/>
      <c r="P582" s="23"/>
      <c r="Q582" s="23"/>
      <c r="R582" s="23"/>
      <c r="S582" s="23"/>
      <c r="T582" s="23"/>
      <c r="U582" s="23"/>
      <c r="V582" s="23"/>
      <c r="W582" s="23"/>
      <c r="X582" s="23"/>
      <c r="Y582" s="23"/>
      <c r="Z582" s="23"/>
      <c r="AA582" s="23"/>
      <c r="AB582" s="23"/>
    </row>
    <row r="583" spans="11:28" x14ac:dyDescent="0.2">
      <c r="K583" s="23"/>
      <c r="L583" s="23"/>
      <c r="M583" s="23"/>
      <c r="N583" s="23"/>
      <c r="O583" s="23"/>
      <c r="P583" s="23"/>
      <c r="Q583" s="23"/>
      <c r="R583" s="23"/>
      <c r="S583" s="23"/>
      <c r="T583" s="23"/>
      <c r="U583" s="23"/>
      <c r="V583" s="23"/>
      <c r="W583" s="23"/>
      <c r="X583" s="23"/>
      <c r="Y583" s="23"/>
      <c r="Z583" s="23"/>
      <c r="AA583" s="23"/>
      <c r="AB583" s="23"/>
    </row>
    <row r="584" spans="11:28" x14ac:dyDescent="0.2">
      <c r="K584" s="23"/>
      <c r="L584" s="23"/>
      <c r="M584" s="23"/>
      <c r="N584" s="23"/>
      <c r="O584" s="23"/>
      <c r="P584" s="23"/>
      <c r="Q584" s="23"/>
      <c r="R584" s="23"/>
      <c r="S584" s="23"/>
      <c r="T584" s="23"/>
      <c r="U584" s="23"/>
      <c r="V584" s="23"/>
      <c r="W584" s="23"/>
      <c r="X584" s="23"/>
      <c r="Y584" s="23"/>
      <c r="Z584" s="23"/>
      <c r="AA584" s="23"/>
      <c r="AB584" s="23"/>
    </row>
    <row r="585" spans="11:28" x14ac:dyDescent="0.2">
      <c r="K585" s="23"/>
      <c r="L585" s="23"/>
      <c r="M585" s="23"/>
      <c r="N585" s="23"/>
      <c r="O585" s="23"/>
      <c r="P585" s="23"/>
      <c r="Q585" s="23"/>
      <c r="R585" s="23"/>
      <c r="S585" s="23"/>
      <c r="T585" s="23"/>
      <c r="U585" s="23"/>
      <c r="V585" s="23"/>
      <c r="W585" s="23"/>
      <c r="X585" s="23"/>
      <c r="Y585" s="23"/>
      <c r="Z585" s="23"/>
      <c r="AA585" s="23"/>
      <c r="AB585" s="23"/>
    </row>
    <row r="586" spans="11:28" x14ac:dyDescent="0.2">
      <c r="K586" s="23"/>
      <c r="L586" s="23"/>
      <c r="M586" s="23"/>
      <c r="N586" s="23"/>
      <c r="O586" s="23"/>
      <c r="P586" s="23"/>
      <c r="Q586" s="23"/>
      <c r="R586" s="23"/>
      <c r="S586" s="23"/>
      <c r="T586" s="23"/>
      <c r="U586" s="23"/>
      <c r="V586" s="23"/>
      <c r="W586" s="23"/>
      <c r="X586" s="23"/>
      <c r="Y586" s="23"/>
      <c r="Z586" s="23"/>
      <c r="AA586" s="23"/>
      <c r="AB586" s="23"/>
    </row>
    <row r="587" spans="11:28" x14ac:dyDescent="0.2">
      <c r="K587" s="23"/>
      <c r="L587" s="23"/>
      <c r="M587" s="23"/>
      <c r="N587" s="23"/>
      <c r="O587" s="23"/>
      <c r="P587" s="23"/>
      <c r="Q587" s="23"/>
      <c r="R587" s="23"/>
      <c r="S587" s="23"/>
      <c r="T587" s="23"/>
      <c r="U587" s="23"/>
      <c r="V587" s="23"/>
      <c r="W587" s="23"/>
      <c r="X587" s="23"/>
      <c r="Y587" s="23"/>
      <c r="Z587" s="23"/>
      <c r="AA587" s="23"/>
      <c r="AB587" s="23"/>
    </row>
    <row r="588" spans="11:28" x14ac:dyDescent="0.2">
      <c r="K588" s="23"/>
      <c r="L588" s="23"/>
      <c r="M588" s="23"/>
      <c r="N588" s="23"/>
      <c r="O588" s="23"/>
      <c r="P588" s="23"/>
      <c r="Q588" s="23"/>
      <c r="R588" s="23"/>
      <c r="S588" s="23"/>
      <c r="T588" s="23"/>
      <c r="U588" s="23"/>
      <c r="V588" s="23"/>
      <c r="W588" s="23"/>
      <c r="X588" s="23"/>
      <c r="Y588" s="23"/>
      <c r="Z588" s="23"/>
      <c r="AA588" s="23"/>
      <c r="AB588" s="23"/>
    </row>
    <row r="589" spans="11:28" x14ac:dyDescent="0.2">
      <c r="K589" s="23"/>
      <c r="L589" s="23"/>
      <c r="M589" s="23"/>
      <c r="N589" s="23"/>
      <c r="O589" s="23"/>
      <c r="P589" s="23"/>
      <c r="Q589" s="23"/>
      <c r="R589" s="23"/>
      <c r="S589" s="23"/>
      <c r="T589" s="23"/>
      <c r="U589" s="23"/>
      <c r="V589" s="23"/>
      <c r="W589" s="23"/>
      <c r="X589" s="23"/>
      <c r="Y589" s="23"/>
      <c r="Z589" s="23"/>
      <c r="AA589" s="23"/>
      <c r="AB589" s="23"/>
    </row>
    <row r="590" spans="11:28" x14ac:dyDescent="0.2">
      <c r="K590" s="23"/>
      <c r="L590" s="23"/>
      <c r="M590" s="23"/>
      <c r="N590" s="23"/>
      <c r="O590" s="23"/>
      <c r="P590" s="23"/>
      <c r="Q590" s="23"/>
      <c r="R590" s="23"/>
      <c r="S590" s="23"/>
      <c r="T590" s="23"/>
      <c r="U590" s="23"/>
      <c r="V590" s="23"/>
      <c r="W590" s="23"/>
      <c r="X590" s="23"/>
      <c r="Y590" s="23"/>
      <c r="Z590" s="23"/>
      <c r="AA590" s="23"/>
      <c r="AB590" s="23"/>
    </row>
    <row r="591" spans="11:28" x14ac:dyDescent="0.2">
      <c r="K591" s="23"/>
      <c r="L591" s="23"/>
      <c r="M591" s="23"/>
      <c r="N591" s="23"/>
      <c r="O591" s="23"/>
      <c r="P591" s="23"/>
      <c r="Q591" s="23"/>
      <c r="R591" s="23"/>
      <c r="S591" s="23"/>
      <c r="T591" s="23"/>
      <c r="U591" s="23"/>
      <c r="V591" s="23"/>
      <c r="W591" s="23"/>
      <c r="X591" s="23"/>
      <c r="Y591" s="23"/>
      <c r="Z591" s="23"/>
      <c r="AA591" s="23"/>
      <c r="AB591" s="23"/>
    </row>
    <row r="592" spans="11:28" x14ac:dyDescent="0.2">
      <c r="K592" s="23"/>
      <c r="L592" s="23"/>
      <c r="M592" s="23"/>
      <c r="N592" s="23"/>
      <c r="O592" s="23"/>
      <c r="P592" s="23"/>
      <c r="Q592" s="23"/>
      <c r="R592" s="23"/>
      <c r="S592" s="23"/>
      <c r="T592" s="23"/>
      <c r="U592" s="23"/>
      <c r="V592" s="23"/>
      <c r="W592" s="23"/>
      <c r="X592" s="23"/>
      <c r="Y592" s="23"/>
      <c r="Z592" s="23"/>
      <c r="AA592" s="23"/>
      <c r="AB592" s="23"/>
    </row>
    <row r="593" spans="11:28" x14ac:dyDescent="0.2">
      <c r="K593" s="23"/>
      <c r="L593" s="23"/>
      <c r="M593" s="23"/>
      <c r="N593" s="23"/>
      <c r="O593" s="23"/>
      <c r="P593" s="23"/>
      <c r="Q593" s="23"/>
      <c r="R593" s="23"/>
      <c r="S593" s="23"/>
      <c r="T593" s="23"/>
      <c r="U593" s="23"/>
      <c r="V593" s="23"/>
      <c r="W593" s="23"/>
      <c r="X593" s="23"/>
      <c r="Y593" s="23"/>
      <c r="Z593" s="23"/>
      <c r="AA593" s="23"/>
      <c r="AB593" s="23"/>
    </row>
    <row r="594" spans="11:28" x14ac:dyDescent="0.2">
      <c r="K594" s="23"/>
      <c r="L594" s="23"/>
      <c r="M594" s="23"/>
      <c r="N594" s="23"/>
      <c r="O594" s="23"/>
      <c r="P594" s="23"/>
      <c r="Q594" s="23"/>
      <c r="R594" s="23"/>
      <c r="S594" s="23"/>
      <c r="T594" s="23"/>
      <c r="U594" s="23"/>
      <c r="V594" s="23"/>
      <c r="W594" s="23"/>
      <c r="X594" s="23"/>
      <c r="Y594" s="23"/>
      <c r="Z594" s="23"/>
      <c r="AA594" s="23"/>
      <c r="AB594" s="23"/>
    </row>
    <row r="595" spans="11:28" x14ac:dyDescent="0.2">
      <c r="K595" s="23"/>
      <c r="L595" s="23"/>
      <c r="M595" s="23"/>
      <c r="N595" s="23"/>
      <c r="O595" s="23"/>
      <c r="P595" s="23"/>
      <c r="Q595" s="23"/>
      <c r="R595" s="23"/>
      <c r="S595" s="23"/>
      <c r="T595" s="23"/>
      <c r="U595" s="23"/>
      <c r="V595" s="23"/>
      <c r="W595" s="23"/>
      <c r="X595" s="23"/>
      <c r="Y595" s="23"/>
      <c r="Z595" s="23"/>
      <c r="AA595" s="23"/>
      <c r="AB595" s="23"/>
    </row>
    <row r="596" spans="11:28" x14ac:dyDescent="0.2">
      <c r="K596" s="23"/>
      <c r="L596" s="23"/>
      <c r="M596" s="23"/>
      <c r="N596" s="23"/>
      <c r="O596" s="23"/>
      <c r="P596" s="23"/>
      <c r="Q596" s="23"/>
      <c r="R596" s="23"/>
      <c r="S596" s="23"/>
      <c r="T596" s="23"/>
      <c r="U596" s="23"/>
      <c r="V596" s="23"/>
      <c r="W596" s="23"/>
      <c r="X596" s="23"/>
      <c r="Y596" s="23"/>
      <c r="Z596" s="23"/>
      <c r="AA596" s="23"/>
      <c r="AB596" s="23"/>
    </row>
    <row r="597" spans="11:28" x14ac:dyDescent="0.2">
      <c r="K597" s="23"/>
      <c r="L597" s="23"/>
      <c r="M597" s="23"/>
      <c r="N597" s="23"/>
      <c r="O597" s="23"/>
      <c r="P597" s="23"/>
      <c r="Q597" s="23"/>
      <c r="R597" s="23"/>
      <c r="S597" s="23"/>
      <c r="T597" s="23"/>
      <c r="U597" s="23"/>
      <c r="V597" s="23"/>
      <c r="W597" s="23"/>
      <c r="X597" s="23"/>
      <c r="Y597" s="23"/>
      <c r="Z597" s="23"/>
      <c r="AA597" s="23"/>
      <c r="AB597" s="23"/>
    </row>
    <row r="598" spans="11:28" x14ac:dyDescent="0.2">
      <c r="K598" s="23"/>
      <c r="L598" s="23"/>
      <c r="M598" s="23"/>
      <c r="N598" s="23"/>
      <c r="O598" s="23"/>
      <c r="P598" s="23"/>
      <c r="Q598" s="23"/>
      <c r="R598" s="23"/>
      <c r="S598" s="23"/>
      <c r="T598" s="23"/>
      <c r="U598" s="23"/>
      <c r="V598" s="23"/>
      <c r="W598" s="23"/>
      <c r="X598" s="23"/>
      <c r="Y598" s="23"/>
      <c r="Z598" s="23"/>
      <c r="AA598" s="23"/>
      <c r="AB598" s="23"/>
    </row>
    <row r="599" spans="11:28" x14ac:dyDescent="0.2">
      <c r="K599" s="23"/>
      <c r="L599" s="23"/>
      <c r="M599" s="23"/>
      <c r="N599" s="23"/>
      <c r="O599" s="23"/>
      <c r="P599" s="23"/>
      <c r="Q599" s="23"/>
      <c r="R599" s="23"/>
      <c r="S599" s="23"/>
      <c r="T599" s="23"/>
      <c r="U599" s="23"/>
      <c r="V599" s="23"/>
      <c r="W599" s="23"/>
      <c r="X599" s="23"/>
      <c r="Y599" s="23"/>
      <c r="Z599" s="23"/>
      <c r="AA599" s="23"/>
      <c r="AB599" s="23"/>
    </row>
    <row r="600" spans="11:28" x14ac:dyDescent="0.2">
      <c r="K600" s="23"/>
      <c r="L600" s="23"/>
      <c r="M600" s="23"/>
      <c r="N600" s="23"/>
      <c r="O600" s="23"/>
      <c r="P600" s="23"/>
      <c r="Q600" s="23"/>
      <c r="R600" s="23"/>
      <c r="S600" s="23"/>
      <c r="T600" s="23"/>
      <c r="U600" s="23"/>
      <c r="V600" s="23"/>
      <c r="W600" s="23"/>
      <c r="X600" s="23"/>
      <c r="Y600" s="23"/>
      <c r="Z600" s="23"/>
      <c r="AA600" s="23"/>
      <c r="AB600" s="23"/>
    </row>
    <row r="601" spans="11:28" x14ac:dyDescent="0.2">
      <c r="K601" s="23"/>
      <c r="L601" s="23"/>
      <c r="M601" s="23"/>
      <c r="N601" s="23"/>
      <c r="O601" s="23"/>
      <c r="P601" s="23"/>
      <c r="Q601" s="23"/>
      <c r="R601" s="23"/>
      <c r="S601" s="23"/>
      <c r="T601" s="23"/>
      <c r="U601" s="23"/>
      <c r="V601" s="23"/>
      <c r="W601" s="23"/>
      <c r="X601" s="23"/>
      <c r="Y601" s="23"/>
      <c r="Z601" s="23"/>
      <c r="AA601" s="23"/>
      <c r="AB601" s="23"/>
    </row>
    <row r="602" spans="11:28" x14ac:dyDescent="0.2">
      <c r="K602" s="23"/>
      <c r="L602" s="23"/>
      <c r="M602" s="23"/>
      <c r="N602" s="23"/>
      <c r="O602" s="23"/>
      <c r="P602" s="23"/>
      <c r="Q602" s="23"/>
      <c r="R602" s="23"/>
      <c r="S602" s="23"/>
      <c r="T602" s="23"/>
      <c r="U602" s="23"/>
      <c r="V602" s="23"/>
      <c r="W602" s="23"/>
      <c r="X602" s="23"/>
      <c r="Y602" s="23"/>
      <c r="Z602" s="23"/>
      <c r="AA602" s="23"/>
      <c r="AB602" s="23"/>
    </row>
    <row r="603" spans="11:28" x14ac:dyDescent="0.2">
      <c r="K603" s="23"/>
      <c r="L603" s="23"/>
      <c r="M603" s="23"/>
      <c r="N603" s="23"/>
      <c r="O603" s="23"/>
      <c r="P603" s="23"/>
      <c r="Q603" s="23"/>
      <c r="R603" s="23"/>
      <c r="S603" s="23"/>
      <c r="T603" s="23"/>
      <c r="U603" s="23"/>
      <c r="V603" s="23"/>
      <c r="W603" s="23"/>
      <c r="X603" s="23"/>
      <c r="Y603" s="23"/>
      <c r="Z603" s="23"/>
      <c r="AA603" s="23"/>
      <c r="AB603" s="23"/>
    </row>
    <row r="604" spans="11:28" x14ac:dyDescent="0.2">
      <c r="K604" s="23"/>
      <c r="L604" s="23"/>
      <c r="M604" s="23"/>
      <c r="N604" s="23"/>
      <c r="O604" s="23"/>
      <c r="P604" s="23"/>
      <c r="Q604" s="23"/>
      <c r="R604" s="23"/>
      <c r="S604" s="23"/>
      <c r="T604" s="23"/>
      <c r="U604" s="23"/>
      <c r="V604" s="23"/>
      <c r="W604" s="23"/>
      <c r="X604" s="23"/>
      <c r="Y604" s="23"/>
      <c r="Z604" s="23"/>
      <c r="AA604" s="23"/>
      <c r="AB604" s="23"/>
    </row>
    <row r="605" spans="11:28" x14ac:dyDescent="0.2">
      <c r="K605" s="23"/>
      <c r="L605" s="23"/>
      <c r="M605" s="23"/>
      <c r="N605" s="23"/>
      <c r="O605" s="23"/>
      <c r="P605" s="23"/>
      <c r="Q605" s="23"/>
      <c r="R605" s="23"/>
      <c r="S605" s="23"/>
      <c r="T605" s="23"/>
      <c r="U605" s="23"/>
      <c r="V605" s="23"/>
      <c r="W605" s="23"/>
      <c r="X605" s="23"/>
      <c r="Y605" s="23"/>
      <c r="Z605" s="23"/>
      <c r="AA605" s="23"/>
      <c r="AB605" s="23"/>
    </row>
    <row r="606" spans="11:28" x14ac:dyDescent="0.2">
      <c r="K606" s="23"/>
      <c r="L606" s="23"/>
      <c r="M606" s="23"/>
      <c r="N606" s="23"/>
      <c r="O606" s="23"/>
      <c r="P606" s="23"/>
      <c r="Q606" s="23"/>
      <c r="R606" s="23"/>
      <c r="S606" s="23"/>
      <c r="T606" s="23"/>
      <c r="U606" s="23"/>
      <c r="V606" s="23"/>
      <c r="W606" s="23"/>
      <c r="X606" s="23"/>
      <c r="Y606" s="23"/>
      <c r="Z606" s="23"/>
      <c r="AA606" s="23"/>
      <c r="AB606" s="23"/>
    </row>
    <row r="607" spans="11:28" x14ac:dyDescent="0.2">
      <c r="K607" s="23"/>
      <c r="L607" s="23"/>
      <c r="M607" s="23"/>
      <c r="N607" s="23"/>
      <c r="O607" s="23"/>
      <c r="P607" s="23"/>
      <c r="Q607" s="23"/>
      <c r="R607" s="23"/>
      <c r="S607" s="23"/>
      <c r="T607" s="23"/>
      <c r="U607" s="23"/>
      <c r="V607" s="23"/>
      <c r="W607" s="23"/>
      <c r="X607" s="23"/>
      <c r="Y607" s="23"/>
      <c r="Z607" s="23"/>
      <c r="AA607" s="23"/>
      <c r="AB607" s="23"/>
    </row>
    <row r="608" spans="11:28" x14ac:dyDescent="0.2">
      <c r="K608" s="23"/>
      <c r="L608" s="23"/>
      <c r="M608" s="23"/>
      <c r="N608" s="23"/>
      <c r="O608" s="23"/>
      <c r="P608" s="23"/>
      <c r="Q608" s="23"/>
      <c r="R608" s="23"/>
      <c r="S608" s="23"/>
      <c r="T608" s="23"/>
      <c r="U608" s="23"/>
      <c r="V608" s="23"/>
      <c r="W608" s="23"/>
      <c r="X608" s="23"/>
      <c r="Y608" s="23"/>
      <c r="Z608" s="23"/>
      <c r="AA608" s="23"/>
      <c r="AB608" s="23"/>
    </row>
    <row r="609" spans="11:28" x14ac:dyDescent="0.2">
      <c r="K609" s="23"/>
      <c r="L609" s="23"/>
      <c r="M609" s="23"/>
      <c r="N609" s="23"/>
      <c r="O609" s="23"/>
      <c r="P609" s="23"/>
      <c r="Q609" s="23"/>
      <c r="R609" s="23"/>
      <c r="S609" s="23"/>
      <c r="T609" s="23"/>
      <c r="U609" s="23"/>
      <c r="V609" s="23"/>
      <c r="W609" s="23"/>
      <c r="X609" s="23"/>
      <c r="Y609" s="23"/>
      <c r="Z609" s="23"/>
      <c r="AA609" s="23"/>
      <c r="AB609" s="23"/>
    </row>
    <row r="610" spans="11:28" x14ac:dyDescent="0.2">
      <c r="K610" s="23"/>
      <c r="L610" s="23"/>
      <c r="M610" s="23"/>
      <c r="N610" s="23"/>
      <c r="O610" s="23"/>
      <c r="P610" s="23"/>
      <c r="Q610" s="23"/>
      <c r="R610" s="23"/>
      <c r="S610" s="23"/>
      <c r="T610" s="23"/>
      <c r="U610" s="23"/>
      <c r="V610" s="23"/>
      <c r="W610" s="23"/>
      <c r="X610" s="23"/>
      <c r="Y610" s="23"/>
      <c r="Z610" s="23"/>
      <c r="AA610" s="23"/>
      <c r="AB610" s="23"/>
    </row>
    <row r="611" spans="11:28" x14ac:dyDescent="0.2">
      <c r="K611" s="23"/>
      <c r="L611" s="23"/>
      <c r="M611" s="23"/>
      <c r="N611" s="23"/>
      <c r="O611" s="23"/>
      <c r="P611" s="23"/>
      <c r="Q611" s="23"/>
      <c r="R611" s="23"/>
      <c r="S611" s="23"/>
      <c r="T611" s="23"/>
      <c r="U611" s="23"/>
      <c r="V611" s="23"/>
      <c r="W611" s="23"/>
      <c r="X611" s="23"/>
      <c r="Y611" s="23"/>
      <c r="Z611" s="23"/>
      <c r="AA611" s="23"/>
      <c r="AB611" s="23"/>
    </row>
    <row r="612" spans="11:28" x14ac:dyDescent="0.2">
      <c r="K612" s="23"/>
      <c r="L612" s="23"/>
      <c r="M612" s="23"/>
      <c r="N612" s="23"/>
      <c r="O612" s="23"/>
      <c r="P612" s="23"/>
      <c r="Q612" s="23"/>
      <c r="R612" s="23"/>
      <c r="S612" s="23"/>
      <c r="T612" s="23"/>
      <c r="U612" s="23"/>
      <c r="V612" s="23"/>
      <c r="W612" s="23"/>
      <c r="X612" s="23"/>
      <c r="Y612" s="23"/>
      <c r="Z612" s="23"/>
      <c r="AA612" s="23"/>
      <c r="AB612" s="23"/>
    </row>
    <row r="613" spans="11:28" x14ac:dyDescent="0.2">
      <c r="K613" s="23"/>
      <c r="L613" s="23"/>
      <c r="M613" s="23"/>
      <c r="N613" s="23"/>
      <c r="O613" s="23"/>
      <c r="P613" s="23"/>
      <c r="Q613" s="23"/>
      <c r="R613" s="23"/>
      <c r="S613" s="23"/>
      <c r="T613" s="23"/>
      <c r="U613" s="23"/>
      <c r="V613" s="23"/>
      <c r="W613" s="23"/>
      <c r="X613" s="23"/>
      <c r="Y613" s="23"/>
      <c r="Z613" s="23"/>
      <c r="AA613" s="23"/>
      <c r="AB613" s="23"/>
    </row>
    <row r="614" spans="11:28" x14ac:dyDescent="0.2">
      <c r="K614" s="23"/>
      <c r="L614" s="23"/>
      <c r="M614" s="23"/>
      <c r="N614" s="23"/>
      <c r="O614" s="23"/>
      <c r="P614" s="23"/>
      <c r="Q614" s="23"/>
      <c r="R614" s="23"/>
      <c r="S614" s="23"/>
      <c r="T614" s="23"/>
      <c r="U614" s="23"/>
      <c r="V614" s="23"/>
      <c r="W614" s="23"/>
      <c r="X614" s="23"/>
      <c r="Y614" s="23"/>
      <c r="Z614" s="23"/>
      <c r="AA614" s="23"/>
      <c r="AB614" s="23"/>
    </row>
    <row r="615" spans="11:28" x14ac:dyDescent="0.2">
      <c r="K615" s="23"/>
      <c r="L615" s="23"/>
      <c r="M615" s="23"/>
      <c r="N615" s="23"/>
      <c r="O615" s="23"/>
      <c r="P615" s="23"/>
      <c r="Q615" s="23"/>
      <c r="R615" s="23"/>
      <c r="S615" s="23"/>
      <c r="T615" s="23"/>
      <c r="U615" s="23"/>
      <c r="V615" s="23"/>
      <c r="W615" s="23"/>
      <c r="X615" s="23"/>
      <c r="Y615" s="23"/>
      <c r="Z615" s="23"/>
      <c r="AA615" s="23"/>
      <c r="AB615" s="23"/>
    </row>
    <row r="616" spans="11:28" x14ac:dyDescent="0.2">
      <c r="K616" s="23"/>
      <c r="L616" s="23"/>
      <c r="M616" s="23"/>
      <c r="N616" s="23"/>
      <c r="O616" s="23"/>
      <c r="P616" s="23"/>
      <c r="Q616" s="23"/>
      <c r="R616" s="23"/>
      <c r="S616" s="23"/>
      <c r="T616" s="23"/>
      <c r="U616" s="23"/>
      <c r="V616" s="23"/>
      <c r="W616" s="23"/>
      <c r="X616" s="23"/>
      <c r="Y616" s="23"/>
      <c r="Z616" s="23"/>
      <c r="AA616" s="23"/>
      <c r="AB616" s="23"/>
    </row>
    <row r="617" spans="11:28" x14ac:dyDescent="0.2">
      <c r="K617" s="23"/>
      <c r="L617" s="23"/>
      <c r="M617" s="23"/>
      <c r="N617" s="23"/>
      <c r="O617" s="23"/>
      <c r="P617" s="23"/>
      <c r="Q617" s="23"/>
      <c r="R617" s="23"/>
      <c r="S617" s="23"/>
      <c r="T617" s="23"/>
      <c r="U617" s="23"/>
      <c r="V617" s="23"/>
      <c r="W617" s="23"/>
      <c r="X617" s="23"/>
      <c r="Y617" s="23"/>
      <c r="Z617" s="23"/>
      <c r="AA617" s="23"/>
      <c r="AB617" s="23"/>
    </row>
    <row r="618" spans="11:28" x14ac:dyDescent="0.2">
      <c r="K618" s="23"/>
      <c r="L618" s="23"/>
      <c r="M618" s="23"/>
      <c r="N618" s="23"/>
      <c r="O618" s="23"/>
      <c r="P618" s="23"/>
      <c r="Q618" s="23"/>
      <c r="R618" s="23"/>
      <c r="S618" s="23"/>
      <c r="T618" s="23"/>
      <c r="U618" s="23"/>
      <c r="V618" s="23"/>
      <c r="W618" s="23"/>
      <c r="X618" s="23"/>
      <c r="Y618" s="23"/>
      <c r="Z618" s="23"/>
      <c r="AA618" s="23"/>
      <c r="AB618" s="23"/>
    </row>
    <row r="619" spans="11:28" x14ac:dyDescent="0.2">
      <c r="K619" s="23"/>
      <c r="L619" s="23"/>
      <c r="M619" s="23"/>
      <c r="N619" s="23"/>
      <c r="O619" s="23"/>
      <c r="P619" s="23"/>
      <c r="Q619" s="23"/>
      <c r="R619" s="23"/>
      <c r="S619" s="23"/>
      <c r="T619" s="23"/>
      <c r="U619" s="23"/>
      <c r="V619" s="23"/>
      <c r="W619" s="23"/>
      <c r="X619" s="23"/>
      <c r="Y619" s="23"/>
      <c r="Z619" s="23"/>
      <c r="AA619" s="23"/>
      <c r="AB619" s="23"/>
    </row>
    <row r="620" spans="11:28" x14ac:dyDescent="0.2">
      <c r="K620" s="23"/>
      <c r="L620" s="23"/>
      <c r="M620" s="23"/>
      <c r="N620" s="23"/>
      <c r="O620" s="23"/>
      <c r="P620" s="23"/>
      <c r="Q620" s="23"/>
      <c r="R620" s="23"/>
      <c r="S620" s="23"/>
      <c r="T620" s="23"/>
      <c r="U620" s="23"/>
      <c r="V620" s="23"/>
      <c r="W620" s="23"/>
      <c r="X620" s="23"/>
      <c r="Y620" s="23"/>
      <c r="Z620" s="23"/>
      <c r="AA620" s="23"/>
      <c r="AB620" s="23"/>
    </row>
    <row r="621" spans="11:28" x14ac:dyDescent="0.2">
      <c r="K621" s="23"/>
      <c r="L621" s="23"/>
      <c r="M621" s="23"/>
      <c r="N621" s="23"/>
      <c r="O621" s="23"/>
      <c r="P621" s="23"/>
      <c r="Q621" s="23"/>
      <c r="R621" s="23"/>
      <c r="S621" s="23"/>
      <c r="T621" s="23"/>
      <c r="U621" s="23"/>
      <c r="V621" s="23"/>
      <c r="W621" s="23"/>
      <c r="X621" s="23"/>
      <c r="Y621" s="23"/>
      <c r="Z621" s="23"/>
      <c r="AA621" s="23"/>
      <c r="AB621" s="23"/>
    </row>
    <row r="622" spans="11:28" x14ac:dyDescent="0.2">
      <c r="K622" s="23"/>
      <c r="L622" s="23"/>
      <c r="M622" s="23"/>
      <c r="N622" s="23"/>
      <c r="O622" s="23"/>
      <c r="P622" s="23"/>
      <c r="Q622" s="23"/>
      <c r="R622" s="23"/>
      <c r="S622" s="23"/>
      <c r="T622" s="23"/>
      <c r="U622" s="23"/>
      <c r="V622" s="23"/>
      <c r="W622" s="23"/>
      <c r="X622" s="23"/>
      <c r="Y622" s="23"/>
      <c r="Z622" s="23"/>
      <c r="AA622" s="23"/>
      <c r="AB622" s="23"/>
    </row>
    <row r="623" spans="11:28" x14ac:dyDescent="0.2">
      <c r="K623" s="23"/>
      <c r="L623" s="23"/>
      <c r="M623" s="23"/>
      <c r="N623" s="23"/>
      <c r="O623" s="23"/>
      <c r="P623" s="23"/>
      <c r="Q623" s="23"/>
      <c r="R623" s="23"/>
      <c r="S623" s="23"/>
      <c r="T623" s="23"/>
      <c r="U623" s="23"/>
      <c r="V623" s="23"/>
      <c r="W623" s="23"/>
      <c r="X623" s="23"/>
      <c r="Y623" s="23"/>
      <c r="Z623" s="23"/>
      <c r="AA623" s="23"/>
      <c r="AB623" s="23"/>
    </row>
    <row r="624" spans="11:28" x14ac:dyDescent="0.2">
      <c r="K624" s="23"/>
      <c r="L624" s="23"/>
      <c r="M624" s="23"/>
      <c r="N624" s="23"/>
      <c r="O624" s="23"/>
      <c r="P624" s="23"/>
      <c r="Q624" s="23"/>
      <c r="R624" s="23"/>
      <c r="S624" s="23"/>
      <c r="T624" s="23"/>
      <c r="U624" s="23"/>
      <c r="V624" s="23"/>
      <c r="W624" s="23"/>
      <c r="X624" s="23"/>
      <c r="Y624" s="23"/>
      <c r="Z624" s="23"/>
      <c r="AA624" s="23"/>
      <c r="AB624" s="23"/>
    </row>
    <row r="625" spans="11:28" x14ac:dyDescent="0.2">
      <c r="K625" s="23"/>
      <c r="L625" s="23"/>
      <c r="M625" s="23"/>
      <c r="N625" s="23"/>
      <c r="O625" s="23"/>
      <c r="P625" s="23"/>
      <c r="Q625" s="23"/>
      <c r="R625" s="23"/>
      <c r="S625" s="23"/>
      <c r="T625" s="23"/>
      <c r="U625" s="23"/>
      <c r="V625" s="23"/>
      <c r="W625" s="23"/>
      <c r="X625" s="23"/>
      <c r="Y625" s="23"/>
      <c r="Z625" s="23"/>
      <c r="AA625" s="23"/>
      <c r="AB625" s="23"/>
    </row>
    <row r="626" spans="11:28" x14ac:dyDescent="0.2">
      <c r="K626" s="23"/>
      <c r="L626" s="23"/>
      <c r="M626" s="23"/>
      <c r="N626" s="23"/>
      <c r="O626" s="23"/>
      <c r="P626" s="23"/>
      <c r="Q626" s="23"/>
      <c r="R626" s="23"/>
      <c r="S626" s="23"/>
      <c r="T626" s="23"/>
      <c r="U626" s="23"/>
      <c r="V626" s="23"/>
      <c r="W626" s="23"/>
      <c r="X626" s="23"/>
      <c r="Y626" s="23"/>
      <c r="Z626" s="23"/>
      <c r="AA626" s="23"/>
      <c r="AB626" s="23"/>
    </row>
    <row r="627" spans="11:28" x14ac:dyDescent="0.2">
      <c r="K627" s="23"/>
      <c r="L627" s="23"/>
      <c r="M627" s="23"/>
      <c r="N627" s="23"/>
      <c r="O627" s="23"/>
      <c r="P627" s="23"/>
      <c r="Q627" s="23"/>
      <c r="R627" s="23"/>
      <c r="S627" s="23"/>
      <c r="T627" s="23"/>
      <c r="U627" s="23"/>
      <c r="V627" s="23"/>
      <c r="W627" s="23"/>
      <c r="X627" s="23"/>
      <c r="Y627" s="23"/>
      <c r="Z627" s="23"/>
      <c r="AA627" s="23"/>
      <c r="AB627" s="23"/>
    </row>
    <row r="628" spans="11:28" x14ac:dyDescent="0.2">
      <c r="K628" s="23"/>
      <c r="L628" s="23"/>
      <c r="M628" s="23"/>
      <c r="N628" s="23"/>
      <c r="O628" s="23"/>
      <c r="P628" s="23"/>
      <c r="Q628" s="23"/>
      <c r="R628" s="23"/>
      <c r="S628" s="23"/>
      <c r="T628" s="23"/>
      <c r="U628" s="23"/>
      <c r="V628" s="23"/>
      <c r="W628" s="23"/>
      <c r="X628" s="23"/>
      <c r="Y628" s="23"/>
      <c r="Z628" s="23"/>
      <c r="AA628" s="23"/>
      <c r="AB628" s="23"/>
    </row>
    <row r="629" spans="11:28" x14ac:dyDescent="0.2">
      <c r="K629" s="23"/>
      <c r="L629" s="23"/>
      <c r="M629" s="23"/>
      <c r="N629" s="23"/>
      <c r="O629" s="23"/>
      <c r="P629" s="23"/>
      <c r="Q629" s="23"/>
      <c r="R629" s="23"/>
      <c r="S629" s="23"/>
      <c r="T629" s="23"/>
      <c r="U629" s="23"/>
      <c r="V629" s="23"/>
      <c r="W629" s="23"/>
      <c r="X629" s="23"/>
      <c r="Y629" s="23"/>
      <c r="Z629" s="23"/>
      <c r="AA629" s="23"/>
      <c r="AB629" s="23"/>
    </row>
    <row r="630" spans="11:28" x14ac:dyDescent="0.2">
      <c r="K630" s="23"/>
      <c r="L630" s="23"/>
      <c r="M630" s="23"/>
      <c r="N630" s="23"/>
      <c r="O630" s="23"/>
      <c r="P630" s="23"/>
      <c r="Q630" s="23"/>
      <c r="R630" s="23"/>
      <c r="S630" s="23"/>
      <c r="T630" s="23"/>
      <c r="U630" s="23"/>
      <c r="V630" s="23"/>
      <c r="W630" s="23"/>
      <c r="X630" s="23"/>
      <c r="Y630" s="23"/>
      <c r="Z630" s="23"/>
      <c r="AA630" s="23"/>
      <c r="AB630" s="23"/>
    </row>
    <row r="631" spans="11:28" x14ac:dyDescent="0.2">
      <c r="K631" s="23"/>
      <c r="L631" s="23"/>
      <c r="M631" s="23"/>
      <c r="N631" s="23"/>
      <c r="O631" s="23"/>
      <c r="P631" s="23"/>
      <c r="Q631" s="23"/>
      <c r="R631" s="23"/>
      <c r="S631" s="23"/>
      <c r="T631" s="23"/>
      <c r="U631" s="23"/>
      <c r="V631" s="23"/>
      <c r="W631" s="23"/>
      <c r="X631" s="23"/>
      <c r="Y631" s="23"/>
      <c r="Z631" s="23"/>
      <c r="AA631" s="23"/>
      <c r="AB631" s="23"/>
    </row>
    <row r="632" spans="11:28" x14ac:dyDescent="0.2">
      <c r="K632" s="23"/>
      <c r="L632" s="23"/>
      <c r="M632" s="23"/>
      <c r="N632" s="23"/>
      <c r="O632" s="23"/>
      <c r="P632" s="23"/>
      <c r="Q632" s="23"/>
      <c r="R632" s="23"/>
      <c r="S632" s="23"/>
      <c r="T632" s="23"/>
      <c r="U632" s="23"/>
      <c r="V632" s="23"/>
      <c r="W632" s="23"/>
      <c r="X632" s="23"/>
      <c r="Y632" s="23"/>
      <c r="Z632" s="23"/>
      <c r="AA632" s="23"/>
      <c r="AB632" s="23"/>
    </row>
    <row r="633" spans="11:28" x14ac:dyDescent="0.2">
      <c r="K633" s="23"/>
      <c r="L633" s="23"/>
      <c r="M633" s="23"/>
      <c r="N633" s="23"/>
      <c r="O633" s="23"/>
      <c r="P633" s="23"/>
      <c r="Q633" s="23"/>
      <c r="R633" s="23"/>
      <c r="S633" s="23"/>
      <c r="T633" s="23"/>
      <c r="U633" s="23"/>
      <c r="V633" s="23"/>
      <c r="W633" s="23"/>
      <c r="X633" s="23"/>
      <c r="Y633" s="23"/>
      <c r="Z633" s="23"/>
      <c r="AA633" s="23"/>
      <c r="AB633" s="23"/>
    </row>
    <row r="634" spans="11:28" x14ac:dyDescent="0.2">
      <c r="K634" s="23"/>
      <c r="L634" s="23"/>
      <c r="M634" s="23"/>
      <c r="N634" s="23"/>
      <c r="O634" s="23"/>
      <c r="P634" s="23"/>
      <c r="Q634" s="23"/>
      <c r="R634" s="23"/>
      <c r="S634" s="23"/>
      <c r="T634" s="23"/>
      <c r="U634" s="23"/>
      <c r="V634" s="23"/>
      <c r="W634" s="23"/>
      <c r="X634" s="23"/>
      <c r="Y634" s="23"/>
      <c r="Z634" s="23"/>
      <c r="AA634" s="23"/>
      <c r="AB634" s="23"/>
    </row>
    <row r="635" spans="11:28" x14ac:dyDescent="0.2">
      <c r="K635" s="23"/>
      <c r="L635" s="23"/>
      <c r="M635" s="23"/>
      <c r="N635" s="23"/>
      <c r="O635" s="23"/>
      <c r="P635" s="23"/>
      <c r="Q635" s="23"/>
      <c r="R635" s="23"/>
      <c r="S635" s="23"/>
      <c r="T635" s="23"/>
      <c r="U635" s="23"/>
      <c r="V635" s="23"/>
      <c r="W635" s="23"/>
      <c r="X635" s="23"/>
      <c r="Y635" s="23"/>
      <c r="Z635" s="23"/>
      <c r="AA635" s="23"/>
      <c r="AB635" s="23"/>
    </row>
    <row r="636" spans="11:28" x14ac:dyDescent="0.2">
      <c r="K636" s="23"/>
      <c r="L636" s="23"/>
      <c r="M636" s="23"/>
      <c r="N636" s="23"/>
      <c r="O636" s="23"/>
      <c r="P636" s="23"/>
      <c r="Q636" s="23"/>
      <c r="R636" s="23"/>
      <c r="S636" s="23"/>
      <c r="T636" s="23"/>
      <c r="U636" s="23"/>
      <c r="V636" s="23"/>
      <c r="W636" s="23"/>
      <c r="X636" s="23"/>
      <c r="Y636" s="23"/>
      <c r="Z636" s="23"/>
      <c r="AA636" s="23"/>
      <c r="AB636" s="23"/>
    </row>
    <row r="637" spans="11:28" x14ac:dyDescent="0.2">
      <c r="K637" s="23"/>
      <c r="L637" s="23"/>
      <c r="M637" s="23"/>
      <c r="N637" s="23"/>
      <c r="O637" s="23"/>
      <c r="P637" s="23"/>
      <c r="Q637" s="23"/>
      <c r="R637" s="23"/>
      <c r="S637" s="23"/>
      <c r="T637" s="23"/>
      <c r="U637" s="23"/>
      <c r="V637" s="23"/>
      <c r="W637" s="23"/>
      <c r="X637" s="23"/>
      <c r="Y637" s="23"/>
      <c r="Z637" s="23"/>
      <c r="AA637" s="23"/>
      <c r="AB637" s="23"/>
    </row>
    <row r="638" spans="11:28" x14ac:dyDescent="0.2">
      <c r="K638" s="23"/>
      <c r="L638" s="23"/>
      <c r="M638" s="23"/>
      <c r="N638" s="23"/>
      <c r="O638" s="23"/>
      <c r="P638" s="23"/>
      <c r="Q638" s="23"/>
      <c r="R638" s="23"/>
      <c r="S638" s="23"/>
      <c r="T638" s="23"/>
      <c r="U638" s="23"/>
      <c r="V638" s="23"/>
      <c r="W638" s="23"/>
      <c r="X638" s="23"/>
      <c r="Y638" s="23"/>
      <c r="Z638" s="23"/>
      <c r="AA638" s="23"/>
      <c r="AB638" s="23"/>
    </row>
    <row r="639" spans="11:28" x14ac:dyDescent="0.2">
      <c r="K639" s="23"/>
      <c r="L639" s="23"/>
      <c r="M639" s="23"/>
      <c r="N639" s="23"/>
      <c r="O639" s="23"/>
      <c r="P639" s="23"/>
      <c r="Q639" s="23"/>
      <c r="R639" s="23"/>
      <c r="S639" s="23"/>
      <c r="T639" s="23"/>
      <c r="U639" s="23"/>
      <c r="V639" s="23"/>
      <c r="W639" s="23"/>
      <c r="X639" s="23"/>
      <c r="Y639" s="23"/>
      <c r="Z639" s="23"/>
      <c r="AA639" s="23"/>
      <c r="AB639" s="23"/>
    </row>
    <row r="640" spans="11:28" x14ac:dyDescent="0.2">
      <c r="K640" s="23"/>
      <c r="L640" s="23"/>
      <c r="M640" s="23"/>
      <c r="N640" s="23"/>
      <c r="O640" s="23"/>
      <c r="P640" s="23"/>
      <c r="Q640" s="23"/>
      <c r="R640" s="23"/>
      <c r="S640" s="23"/>
      <c r="T640" s="23"/>
      <c r="U640" s="23"/>
      <c r="V640" s="23"/>
      <c r="W640" s="23"/>
      <c r="X640" s="23"/>
      <c r="Y640" s="23"/>
      <c r="Z640" s="23"/>
      <c r="AA640" s="23"/>
      <c r="AB640" s="23"/>
    </row>
    <row r="641" spans="11:28" x14ac:dyDescent="0.2">
      <c r="K641" s="23"/>
      <c r="L641" s="23"/>
      <c r="M641" s="23"/>
      <c r="N641" s="23"/>
      <c r="O641" s="23"/>
      <c r="P641" s="23"/>
      <c r="Q641" s="23"/>
      <c r="R641" s="23"/>
      <c r="S641" s="23"/>
      <c r="T641" s="23"/>
      <c r="U641" s="23"/>
      <c r="V641" s="23"/>
      <c r="W641" s="23"/>
      <c r="X641" s="23"/>
      <c r="Y641" s="23"/>
      <c r="Z641" s="23"/>
      <c r="AA641" s="23"/>
      <c r="AB641" s="23"/>
    </row>
    <row r="642" spans="11:28" x14ac:dyDescent="0.2">
      <c r="K642" s="23"/>
      <c r="L642" s="23"/>
      <c r="M642" s="23"/>
      <c r="N642" s="23"/>
      <c r="O642" s="23"/>
      <c r="P642" s="23"/>
      <c r="Q642" s="23"/>
      <c r="R642" s="23"/>
      <c r="S642" s="23"/>
      <c r="T642" s="23"/>
      <c r="U642" s="23"/>
      <c r="V642" s="23"/>
      <c r="W642" s="23"/>
      <c r="X642" s="23"/>
      <c r="Y642" s="23"/>
      <c r="Z642" s="23"/>
      <c r="AA642" s="23"/>
      <c r="AB642" s="23"/>
    </row>
    <row r="643" spans="11:28" x14ac:dyDescent="0.2">
      <c r="K643" s="23"/>
      <c r="L643" s="23"/>
      <c r="M643" s="23"/>
      <c r="N643" s="23"/>
      <c r="O643" s="23"/>
      <c r="P643" s="23"/>
      <c r="Q643" s="23"/>
      <c r="R643" s="23"/>
      <c r="S643" s="23"/>
      <c r="T643" s="23"/>
      <c r="U643" s="23"/>
      <c r="V643" s="23"/>
      <c r="W643" s="23"/>
      <c r="X643" s="23"/>
      <c r="Y643" s="23"/>
      <c r="Z643" s="23"/>
      <c r="AA643" s="23"/>
      <c r="AB643" s="23"/>
    </row>
    <row r="644" spans="11:28" x14ac:dyDescent="0.2">
      <c r="K644" s="23"/>
      <c r="L644" s="23"/>
      <c r="M644" s="23"/>
      <c r="N644" s="23"/>
      <c r="O644" s="23"/>
      <c r="P644" s="23"/>
      <c r="Q644" s="23"/>
      <c r="R644" s="23"/>
      <c r="S644" s="23"/>
      <c r="T644" s="23"/>
      <c r="U644" s="23"/>
      <c r="V644" s="23"/>
      <c r="W644" s="23"/>
      <c r="X644" s="23"/>
      <c r="Y644" s="23"/>
      <c r="Z644" s="23"/>
      <c r="AA644" s="23"/>
      <c r="AB644" s="23"/>
    </row>
    <row r="645" spans="11:28" x14ac:dyDescent="0.2">
      <c r="K645" s="23"/>
      <c r="L645" s="23"/>
      <c r="M645" s="23"/>
      <c r="N645" s="23"/>
      <c r="O645" s="23"/>
      <c r="P645" s="23"/>
      <c r="Q645" s="23"/>
      <c r="R645" s="23"/>
      <c r="S645" s="23"/>
      <c r="T645" s="23"/>
      <c r="U645" s="23"/>
      <c r="V645" s="23"/>
      <c r="W645" s="23"/>
      <c r="X645" s="23"/>
      <c r="Y645" s="23"/>
      <c r="Z645" s="23"/>
      <c r="AA645" s="23"/>
      <c r="AB645" s="23"/>
    </row>
    <row r="646" spans="11:28" x14ac:dyDescent="0.2">
      <c r="K646" s="23"/>
      <c r="L646" s="23"/>
      <c r="M646" s="23"/>
      <c r="N646" s="23"/>
      <c r="O646" s="23"/>
      <c r="P646" s="23"/>
      <c r="Q646" s="23"/>
      <c r="R646" s="23"/>
      <c r="S646" s="23"/>
      <c r="T646" s="23"/>
      <c r="U646" s="23"/>
      <c r="V646" s="23"/>
      <c r="W646" s="23"/>
      <c r="X646" s="23"/>
      <c r="Y646" s="23"/>
      <c r="Z646" s="23"/>
      <c r="AA646" s="23"/>
      <c r="AB646" s="23"/>
    </row>
    <row r="647" spans="11:28" x14ac:dyDescent="0.2">
      <c r="K647" s="23"/>
      <c r="L647" s="23"/>
      <c r="M647" s="23"/>
      <c r="N647" s="23"/>
      <c r="O647" s="23"/>
      <c r="P647" s="23"/>
      <c r="Q647" s="23"/>
      <c r="R647" s="23"/>
      <c r="S647" s="23"/>
      <c r="T647" s="23"/>
      <c r="U647" s="23"/>
      <c r="V647" s="23"/>
      <c r="W647" s="23"/>
      <c r="X647" s="23"/>
      <c r="Y647" s="23"/>
      <c r="Z647" s="23"/>
      <c r="AA647" s="23"/>
      <c r="AB647" s="23"/>
    </row>
    <row r="648" spans="11:28" x14ac:dyDescent="0.2">
      <c r="K648" s="23"/>
      <c r="L648" s="23"/>
      <c r="M648" s="23"/>
      <c r="N648" s="23"/>
      <c r="O648" s="23"/>
      <c r="P648" s="23"/>
      <c r="Q648" s="23"/>
      <c r="R648" s="23"/>
      <c r="S648" s="23"/>
      <c r="T648" s="23"/>
      <c r="U648" s="23"/>
      <c r="V648" s="23"/>
      <c r="W648" s="23"/>
      <c r="X648" s="23"/>
      <c r="Y648" s="23"/>
      <c r="Z648" s="23"/>
      <c r="AA648" s="23"/>
      <c r="AB648" s="23"/>
    </row>
    <row r="649" spans="11:28" x14ac:dyDescent="0.2">
      <c r="K649" s="23"/>
      <c r="L649" s="23"/>
      <c r="M649" s="23"/>
      <c r="N649" s="23"/>
      <c r="O649" s="23"/>
      <c r="P649" s="23"/>
      <c r="Q649" s="23"/>
      <c r="R649" s="23"/>
      <c r="S649" s="23"/>
      <c r="T649" s="23"/>
      <c r="U649" s="23"/>
      <c r="V649" s="23"/>
      <c r="W649" s="23"/>
      <c r="X649" s="23"/>
      <c r="Y649" s="23"/>
      <c r="Z649" s="23"/>
      <c r="AA649" s="23"/>
      <c r="AB649" s="23"/>
    </row>
    <row r="650" spans="11:28" x14ac:dyDescent="0.2">
      <c r="K650" s="23"/>
      <c r="L650" s="23"/>
      <c r="M650" s="23"/>
      <c r="N650" s="23"/>
      <c r="O650" s="23"/>
      <c r="P650" s="23"/>
      <c r="Q650" s="23"/>
      <c r="R650" s="23"/>
      <c r="S650" s="23"/>
      <c r="T650" s="23"/>
      <c r="U650" s="23"/>
      <c r="V650" s="23"/>
      <c r="W650" s="23"/>
      <c r="X650" s="23"/>
      <c r="Y650" s="23"/>
      <c r="Z650" s="23"/>
      <c r="AA650" s="23"/>
      <c r="AB650" s="23"/>
    </row>
    <row r="651" spans="11:28" x14ac:dyDescent="0.2">
      <c r="K651" s="23"/>
      <c r="L651" s="23"/>
      <c r="M651" s="23"/>
      <c r="N651" s="23"/>
      <c r="O651" s="23"/>
      <c r="P651" s="23"/>
      <c r="Q651" s="23"/>
      <c r="R651" s="23"/>
      <c r="S651" s="23"/>
      <c r="T651" s="23"/>
      <c r="U651" s="23"/>
      <c r="V651" s="23"/>
      <c r="W651" s="23"/>
      <c r="X651" s="23"/>
      <c r="Y651" s="23"/>
      <c r="Z651" s="23"/>
      <c r="AA651" s="23"/>
      <c r="AB651" s="23"/>
    </row>
    <row r="652" spans="11:28" x14ac:dyDescent="0.2">
      <c r="K652" s="23"/>
      <c r="L652" s="23"/>
      <c r="M652" s="23"/>
      <c r="N652" s="23"/>
      <c r="O652" s="23"/>
      <c r="P652" s="23"/>
      <c r="Q652" s="23"/>
      <c r="R652" s="23"/>
      <c r="S652" s="23"/>
      <c r="T652" s="23"/>
      <c r="U652" s="23"/>
      <c r="V652" s="23"/>
      <c r="W652" s="23"/>
      <c r="X652" s="23"/>
      <c r="Y652" s="23"/>
      <c r="Z652" s="23"/>
      <c r="AA652" s="23"/>
      <c r="AB652" s="23"/>
    </row>
    <row r="653" spans="11:28" x14ac:dyDescent="0.2">
      <c r="K653" s="23"/>
      <c r="L653" s="23"/>
      <c r="M653" s="23"/>
      <c r="N653" s="23"/>
      <c r="O653" s="23"/>
      <c r="P653" s="23"/>
      <c r="Q653" s="23"/>
      <c r="R653" s="23"/>
      <c r="S653" s="23"/>
      <c r="T653" s="23"/>
      <c r="U653" s="23"/>
      <c r="V653" s="23"/>
      <c r="W653" s="23"/>
      <c r="X653" s="23"/>
      <c r="Y653" s="23"/>
      <c r="Z653" s="23"/>
      <c r="AA653" s="23"/>
      <c r="AB653" s="23"/>
    </row>
    <row r="654" spans="11:28" x14ac:dyDescent="0.2">
      <c r="K654" s="23"/>
      <c r="L654" s="23"/>
      <c r="M654" s="23"/>
      <c r="N654" s="23"/>
      <c r="O654" s="23"/>
      <c r="P654" s="23"/>
      <c r="Q654" s="23"/>
      <c r="R654" s="23"/>
      <c r="S654" s="23"/>
      <c r="T654" s="23"/>
      <c r="U654" s="23"/>
      <c r="V654" s="23"/>
      <c r="W654" s="23"/>
      <c r="X654" s="23"/>
      <c r="Y654" s="23"/>
      <c r="Z654" s="23"/>
      <c r="AA654" s="23"/>
      <c r="AB654" s="23"/>
    </row>
    <row r="655" spans="11:28" x14ac:dyDescent="0.2">
      <c r="K655" s="23"/>
      <c r="L655" s="23"/>
      <c r="M655" s="23"/>
      <c r="N655" s="23"/>
      <c r="O655" s="23"/>
      <c r="P655" s="23"/>
      <c r="Q655" s="23"/>
      <c r="R655" s="23"/>
      <c r="S655" s="23"/>
      <c r="T655" s="23"/>
      <c r="U655" s="23"/>
      <c r="V655" s="23"/>
      <c r="W655" s="23"/>
      <c r="X655" s="23"/>
      <c r="Y655" s="23"/>
      <c r="Z655" s="23"/>
      <c r="AA655" s="23"/>
      <c r="AB655" s="23"/>
    </row>
    <row r="656" spans="11:28" x14ac:dyDescent="0.2">
      <c r="K656" s="23"/>
      <c r="L656" s="23"/>
      <c r="M656" s="23"/>
      <c r="N656" s="23"/>
      <c r="O656" s="23"/>
      <c r="P656" s="23"/>
      <c r="Q656" s="23"/>
      <c r="R656" s="23"/>
      <c r="S656" s="23"/>
      <c r="T656" s="23"/>
      <c r="U656" s="23"/>
      <c r="V656" s="23"/>
      <c r="W656" s="23"/>
      <c r="X656" s="23"/>
      <c r="Y656" s="23"/>
      <c r="Z656" s="23"/>
      <c r="AA656" s="23"/>
      <c r="AB656" s="23"/>
    </row>
    <row r="657" spans="11:28" x14ac:dyDescent="0.2">
      <c r="K657" s="23"/>
      <c r="L657" s="23"/>
      <c r="M657" s="23"/>
      <c r="N657" s="23"/>
      <c r="O657" s="23"/>
      <c r="P657" s="23"/>
      <c r="Q657" s="23"/>
      <c r="R657" s="23"/>
      <c r="S657" s="23"/>
      <c r="T657" s="23"/>
      <c r="U657" s="23"/>
      <c r="V657" s="23"/>
      <c r="W657" s="23"/>
      <c r="X657" s="23"/>
      <c r="Y657" s="23"/>
      <c r="Z657" s="23"/>
      <c r="AA657" s="23"/>
      <c r="AB657" s="23"/>
    </row>
    <row r="658" spans="11:28" x14ac:dyDescent="0.2">
      <c r="K658" s="23"/>
      <c r="L658" s="23"/>
      <c r="M658" s="23"/>
      <c r="N658" s="23"/>
      <c r="O658" s="23"/>
      <c r="P658" s="23"/>
      <c r="Q658" s="23"/>
      <c r="R658" s="23"/>
      <c r="S658" s="23"/>
      <c r="T658" s="23"/>
      <c r="U658" s="23"/>
      <c r="V658" s="23"/>
      <c r="W658" s="23"/>
      <c r="X658" s="23"/>
      <c r="Y658" s="23"/>
      <c r="Z658" s="23"/>
      <c r="AA658" s="23"/>
      <c r="AB658" s="23"/>
    </row>
    <row r="659" spans="11:28" x14ac:dyDescent="0.2">
      <c r="K659" s="23"/>
      <c r="L659" s="23"/>
      <c r="M659" s="23"/>
      <c r="N659" s="23"/>
      <c r="O659" s="23"/>
      <c r="P659" s="23"/>
      <c r="Q659" s="23"/>
      <c r="R659" s="23"/>
      <c r="S659" s="23"/>
      <c r="T659" s="23"/>
      <c r="U659" s="23"/>
      <c r="V659" s="23"/>
      <c r="W659" s="23"/>
      <c r="X659" s="23"/>
      <c r="Y659" s="23"/>
      <c r="Z659" s="23"/>
      <c r="AA659" s="23"/>
      <c r="AB659" s="23"/>
    </row>
    <row r="660" spans="11:28" x14ac:dyDescent="0.2">
      <c r="K660" s="23"/>
      <c r="L660" s="23"/>
      <c r="M660" s="23"/>
      <c r="N660" s="23"/>
      <c r="O660" s="23"/>
      <c r="P660" s="23"/>
      <c r="Q660" s="23"/>
      <c r="R660" s="23"/>
      <c r="S660" s="23"/>
      <c r="T660" s="23"/>
      <c r="U660" s="23"/>
      <c r="V660" s="23"/>
      <c r="W660" s="23"/>
      <c r="X660" s="23"/>
      <c r="Y660" s="23"/>
      <c r="Z660" s="23"/>
      <c r="AA660" s="23"/>
      <c r="AB660" s="23"/>
    </row>
    <row r="661" spans="11:28" x14ac:dyDescent="0.2">
      <c r="K661" s="23"/>
      <c r="L661" s="23"/>
      <c r="M661" s="23"/>
      <c r="N661" s="23"/>
      <c r="O661" s="23"/>
      <c r="P661" s="23"/>
      <c r="Q661" s="23"/>
      <c r="R661" s="23"/>
      <c r="S661" s="23"/>
      <c r="T661" s="23"/>
      <c r="U661" s="23"/>
      <c r="V661" s="23"/>
      <c r="W661" s="23"/>
      <c r="X661" s="23"/>
      <c r="Y661" s="23"/>
      <c r="Z661" s="23"/>
      <c r="AA661" s="23"/>
      <c r="AB661" s="23"/>
    </row>
    <row r="662" spans="11:28" x14ac:dyDescent="0.2">
      <c r="K662" s="23"/>
      <c r="L662" s="23"/>
      <c r="M662" s="23"/>
      <c r="N662" s="23"/>
      <c r="O662" s="23"/>
      <c r="P662" s="23"/>
      <c r="Q662" s="23"/>
      <c r="R662" s="23"/>
      <c r="S662" s="23"/>
      <c r="T662" s="23"/>
      <c r="U662" s="23"/>
      <c r="V662" s="23"/>
      <c r="W662" s="23"/>
      <c r="X662" s="23"/>
      <c r="Y662" s="23"/>
      <c r="Z662" s="23"/>
      <c r="AA662" s="23"/>
      <c r="AB662" s="23"/>
    </row>
    <row r="663" spans="11:28" x14ac:dyDescent="0.2">
      <c r="K663" s="23"/>
      <c r="L663" s="23"/>
      <c r="M663" s="23"/>
      <c r="N663" s="23"/>
      <c r="O663" s="23"/>
      <c r="P663" s="23"/>
      <c r="Q663" s="23"/>
      <c r="R663" s="23"/>
      <c r="S663" s="23"/>
      <c r="T663" s="23"/>
      <c r="U663" s="23"/>
      <c r="V663" s="23"/>
      <c r="W663" s="23"/>
      <c r="X663" s="23"/>
      <c r="Y663" s="23"/>
      <c r="Z663" s="23"/>
      <c r="AA663" s="23"/>
      <c r="AB663" s="23"/>
    </row>
    <row r="664" spans="11:28" x14ac:dyDescent="0.2">
      <c r="K664" s="23"/>
      <c r="L664" s="23"/>
      <c r="M664" s="23"/>
      <c r="N664" s="23"/>
      <c r="O664" s="23"/>
      <c r="P664" s="23"/>
      <c r="Q664" s="23"/>
      <c r="R664" s="23"/>
      <c r="S664" s="23"/>
      <c r="T664" s="23"/>
      <c r="U664" s="23"/>
      <c r="V664" s="23"/>
      <c r="W664" s="23"/>
      <c r="X664" s="23"/>
      <c r="Y664" s="23"/>
      <c r="Z664" s="23"/>
      <c r="AA664" s="23"/>
      <c r="AB664" s="23"/>
    </row>
    <row r="665" spans="11:28" x14ac:dyDescent="0.2">
      <c r="K665" s="23"/>
      <c r="L665" s="23"/>
      <c r="M665" s="23"/>
      <c r="N665" s="23"/>
      <c r="O665" s="23"/>
      <c r="P665" s="23"/>
      <c r="Q665" s="23"/>
      <c r="R665" s="23"/>
      <c r="S665" s="23"/>
      <c r="T665" s="23"/>
      <c r="U665" s="23"/>
      <c r="V665" s="23"/>
      <c r="W665" s="23"/>
      <c r="X665" s="23"/>
      <c r="Y665" s="23"/>
      <c r="Z665" s="23"/>
      <c r="AA665" s="23"/>
      <c r="AB665" s="23"/>
    </row>
    <row r="666" spans="11:28" x14ac:dyDescent="0.2">
      <c r="K666" s="23"/>
      <c r="L666" s="23"/>
      <c r="M666" s="23"/>
      <c r="N666" s="23"/>
      <c r="O666" s="23"/>
      <c r="P666" s="23"/>
      <c r="Q666" s="23"/>
      <c r="R666" s="23"/>
      <c r="S666" s="23"/>
      <c r="T666" s="23"/>
      <c r="U666" s="23"/>
      <c r="V666" s="23"/>
      <c r="W666" s="23"/>
      <c r="X666" s="23"/>
      <c r="Y666" s="23"/>
      <c r="Z666" s="23"/>
      <c r="AA666" s="23"/>
      <c r="AB666" s="23"/>
    </row>
    <row r="667" spans="11:28" x14ac:dyDescent="0.2">
      <c r="K667" s="23"/>
      <c r="L667" s="23"/>
      <c r="M667" s="23"/>
      <c r="N667" s="23"/>
      <c r="O667" s="23"/>
      <c r="P667" s="23"/>
      <c r="Q667" s="23"/>
      <c r="R667" s="23"/>
      <c r="S667" s="23"/>
      <c r="T667" s="23"/>
      <c r="U667" s="23"/>
      <c r="V667" s="23"/>
      <c r="W667" s="23"/>
      <c r="X667" s="23"/>
      <c r="Y667" s="23"/>
      <c r="Z667" s="23"/>
      <c r="AA667" s="23"/>
      <c r="AB667" s="23"/>
    </row>
    <row r="668" spans="11:28" x14ac:dyDescent="0.2">
      <c r="K668" s="23"/>
      <c r="L668" s="23"/>
      <c r="M668" s="23"/>
      <c r="N668" s="23"/>
      <c r="O668" s="23"/>
      <c r="P668" s="23"/>
      <c r="Q668" s="23"/>
      <c r="R668" s="23"/>
      <c r="S668" s="23"/>
      <c r="T668" s="23"/>
      <c r="U668" s="23"/>
      <c r="V668" s="23"/>
      <c r="W668" s="23"/>
      <c r="X668" s="23"/>
      <c r="Y668" s="23"/>
      <c r="Z668" s="23"/>
      <c r="AA668" s="23"/>
      <c r="AB668" s="23"/>
    </row>
    <row r="669" spans="11:28" x14ac:dyDescent="0.2">
      <c r="K669" s="23"/>
      <c r="L669" s="23"/>
      <c r="M669" s="23"/>
      <c r="N669" s="23"/>
      <c r="O669" s="23"/>
      <c r="P669" s="23"/>
      <c r="Q669" s="23"/>
      <c r="R669" s="23"/>
      <c r="S669" s="23"/>
      <c r="T669" s="23"/>
      <c r="U669" s="23"/>
      <c r="V669" s="23"/>
      <c r="W669" s="23"/>
      <c r="X669" s="23"/>
      <c r="Y669" s="23"/>
      <c r="Z669" s="23"/>
      <c r="AA669" s="23"/>
      <c r="AB669" s="23"/>
    </row>
    <row r="670" spans="11:28" x14ac:dyDescent="0.2">
      <c r="K670" s="23"/>
      <c r="L670" s="23"/>
      <c r="M670" s="23"/>
      <c r="N670" s="23"/>
      <c r="O670" s="23"/>
      <c r="P670" s="23"/>
      <c r="Q670" s="23"/>
      <c r="R670" s="23"/>
      <c r="S670" s="23"/>
      <c r="T670" s="23"/>
      <c r="U670" s="23"/>
      <c r="V670" s="23"/>
      <c r="W670" s="23"/>
      <c r="X670" s="23"/>
      <c r="Y670" s="23"/>
      <c r="Z670" s="23"/>
      <c r="AA670" s="23"/>
      <c r="AB670" s="23"/>
    </row>
    <row r="671" spans="11:28" x14ac:dyDescent="0.2">
      <c r="K671" s="23"/>
      <c r="L671" s="23"/>
      <c r="M671" s="23"/>
      <c r="N671" s="23"/>
      <c r="O671" s="23"/>
      <c r="P671" s="23"/>
      <c r="Q671" s="23"/>
      <c r="R671" s="23"/>
      <c r="S671" s="23"/>
      <c r="T671" s="23"/>
      <c r="U671" s="23"/>
      <c r="V671" s="23"/>
      <c r="W671" s="23"/>
      <c r="X671" s="23"/>
      <c r="Y671" s="23"/>
      <c r="Z671" s="23"/>
      <c r="AA671" s="23"/>
      <c r="AB671" s="23"/>
    </row>
    <row r="672" spans="11:28" x14ac:dyDescent="0.2">
      <c r="K672" s="23"/>
      <c r="L672" s="23"/>
      <c r="M672" s="23"/>
      <c r="N672" s="23"/>
      <c r="O672" s="23"/>
      <c r="P672" s="23"/>
      <c r="Q672" s="23"/>
      <c r="R672" s="23"/>
      <c r="S672" s="23"/>
      <c r="T672" s="23"/>
      <c r="U672" s="23"/>
      <c r="V672" s="23"/>
      <c r="W672" s="23"/>
      <c r="X672" s="23"/>
      <c r="Y672" s="23"/>
      <c r="Z672" s="23"/>
      <c r="AA672" s="23"/>
      <c r="AB672" s="23"/>
    </row>
    <row r="673" spans="11:28" x14ac:dyDescent="0.2">
      <c r="K673" s="23"/>
      <c r="L673" s="23"/>
      <c r="M673" s="23"/>
      <c r="N673" s="23"/>
      <c r="O673" s="23"/>
      <c r="P673" s="23"/>
      <c r="Q673" s="23"/>
      <c r="R673" s="23"/>
      <c r="S673" s="23"/>
      <c r="T673" s="23"/>
      <c r="U673" s="23"/>
      <c r="V673" s="23"/>
      <c r="W673" s="23"/>
      <c r="X673" s="23"/>
      <c r="Y673" s="23"/>
      <c r="Z673" s="23"/>
      <c r="AA673" s="23"/>
      <c r="AB673" s="23"/>
    </row>
    <row r="674" spans="11:28" x14ac:dyDescent="0.2">
      <c r="K674" s="23"/>
      <c r="L674" s="23"/>
      <c r="M674" s="23"/>
      <c r="N674" s="23"/>
      <c r="O674" s="23"/>
      <c r="P674" s="23"/>
      <c r="Q674" s="23"/>
      <c r="R674" s="23"/>
      <c r="S674" s="23"/>
      <c r="T674" s="23"/>
      <c r="U674" s="23"/>
      <c r="V674" s="23"/>
      <c r="W674" s="23"/>
      <c r="X674" s="23"/>
      <c r="Y674" s="23"/>
      <c r="Z674" s="23"/>
      <c r="AA674" s="23"/>
      <c r="AB674" s="23"/>
    </row>
    <row r="675" spans="11:28" x14ac:dyDescent="0.2">
      <c r="K675" s="23"/>
      <c r="L675" s="23"/>
      <c r="M675" s="23"/>
      <c r="N675" s="23"/>
      <c r="O675" s="23"/>
      <c r="P675" s="23"/>
      <c r="Q675" s="23"/>
      <c r="R675" s="23"/>
      <c r="S675" s="23"/>
      <c r="T675" s="23"/>
      <c r="U675" s="23"/>
      <c r="V675" s="23"/>
      <c r="W675" s="23"/>
      <c r="X675" s="23"/>
      <c r="Y675" s="23"/>
      <c r="Z675" s="23"/>
      <c r="AA675" s="23"/>
      <c r="AB675" s="23"/>
    </row>
    <row r="676" spans="11:28" x14ac:dyDescent="0.2">
      <c r="K676" s="23"/>
      <c r="L676" s="23"/>
      <c r="M676" s="23"/>
      <c r="N676" s="23"/>
      <c r="O676" s="23"/>
      <c r="P676" s="23"/>
      <c r="Q676" s="23"/>
      <c r="R676" s="23"/>
      <c r="S676" s="23"/>
      <c r="T676" s="23"/>
      <c r="U676" s="23"/>
      <c r="V676" s="23"/>
      <c r="W676" s="23"/>
      <c r="X676" s="23"/>
      <c r="Y676" s="23"/>
      <c r="Z676" s="23"/>
      <c r="AA676" s="23"/>
      <c r="AB676" s="23"/>
    </row>
    <row r="677" spans="11:28" x14ac:dyDescent="0.2">
      <c r="K677" s="23"/>
      <c r="L677" s="23"/>
      <c r="M677" s="23"/>
      <c r="N677" s="23"/>
      <c r="O677" s="23"/>
      <c r="P677" s="23"/>
      <c r="Q677" s="23"/>
      <c r="R677" s="23"/>
      <c r="S677" s="23"/>
      <c r="T677" s="23"/>
      <c r="U677" s="23"/>
      <c r="V677" s="23"/>
      <c r="W677" s="23"/>
      <c r="X677" s="23"/>
      <c r="Y677" s="23"/>
      <c r="Z677" s="23"/>
      <c r="AA677" s="23"/>
      <c r="AB677" s="23"/>
    </row>
    <row r="678" spans="11:28" x14ac:dyDescent="0.2">
      <c r="K678" s="23"/>
      <c r="L678" s="23"/>
      <c r="M678" s="23"/>
      <c r="N678" s="23"/>
      <c r="O678" s="23"/>
      <c r="P678" s="23"/>
      <c r="Q678" s="23"/>
      <c r="R678" s="23"/>
      <c r="S678" s="23"/>
      <c r="T678" s="23"/>
      <c r="U678" s="23"/>
      <c r="V678" s="23"/>
      <c r="W678" s="23"/>
      <c r="X678" s="23"/>
      <c r="Y678" s="23"/>
      <c r="Z678" s="23"/>
      <c r="AA678" s="23"/>
      <c r="AB678" s="23"/>
    </row>
    <row r="679" spans="11:28" x14ac:dyDescent="0.2">
      <c r="K679" s="23"/>
      <c r="L679" s="23"/>
      <c r="M679" s="23"/>
      <c r="N679" s="23"/>
      <c r="O679" s="23"/>
      <c r="P679" s="23"/>
      <c r="Q679" s="23"/>
      <c r="R679" s="23"/>
      <c r="S679" s="23"/>
      <c r="T679" s="23"/>
      <c r="U679" s="23"/>
      <c r="V679" s="23"/>
      <c r="W679" s="23"/>
      <c r="X679" s="23"/>
      <c r="Y679" s="23"/>
      <c r="Z679" s="23"/>
      <c r="AA679" s="23"/>
      <c r="AB679" s="23"/>
    </row>
    <row r="680" spans="11:28" x14ac:dyDescent="0.2">
      <c r="K680" s="23"/>
      <c r="L680" s="23"/>
      <c r="M680" s="23"/>
      <c r="N680" s="23"/>
      <c r="O680" s="23"/>
      <c r="P680" s="23"/>
      <c r="Q680" s="23"/>
      <c r="R680" s="23"/>
      <c r="S680" s="23"/>
      <c r="T680" s="23"/>
      <c r="U680" s="23"/>
      <c r="V680" s="23"/>
      <c r="W680" s="23"/>
      <c r="X680" s="23"/>
      <c r="Y680" s="23"/>
      <c r="Z680" s="23"/>
      <c r="AA680" s="23"/>
      <c r="AB680" s="23"/>
    </row>
    <row r="681" spans="11:28" x14ac:dyDescent="0.2">
      <c r="K681" s="23"/>
      <c r="L681" s="23"/>
      <c r="M681" s="23"/>
      <c r="N681" s="23"/>
      <c r="O681" s="23"/>
      <c r="P681" s="23"/>
      <c r="Q681" s="23"/>
      <c r="R681" s="23"/>
      <c r="S681" s="23"/>
      <c r="T681" s="23"/>
      <c r="U681" s="23"/>
      <c r="V681" s="23"/>
      <c r="W681" s="23"/>
      <c r="X681" s="23"/>
      <c r="Y681" s="23"/>
      <c r="Z681" s="23"/>
      <c r="AA681" s="23"/>
      <c r="AB681" s="23"/>
    </row>
    <row r="682" spans="11:28" x14ac:dyDescent="0.2">
      <c r="K682" s="23"/>
      <c r="L682" s="23"/>
      <c r="M682" s="23"/>
      <c r="N682" s="23"/>
      <c r="O682" s="23"/>
      <c r="P682" s="23"/>
      <c r="Q682" s="23"/>
      <c r="R682" s="23"/>
      <c r="S682" s="23"/>
      <c r="T682" s="23"/>
      <c r="U682" s="23"/>
      <c r="V682" s="23"/>
      <c r="W682" s="23"/>
      <c r="X682" s="23"/>
      <c r="Y682" s="23"/>
      <c r="Z682" s="23"/>
      <c r="AA682" s="23"/>
      <c r="AB682" s="23"/>
    </row>
    <row r="683" spans="11:28" x14ac:dyDescent="0.2">
      <c r="K683" s="23"/>
      <c r="L683" s="23"/>
      <c r="M683" s="23"/>
      <c r="N683" s="23"/>
      <c r="O683" s="23"/>
      <c r="P683" s="23"/>
      <c r="Q683" s="23"/>
      <c r="R683" s="23"/>
      <c r="S683" s="23"/>
      <c r="T683" s="23"/>
      <c r="U683" s="23"/>
      <c r="V683" s="23"/>
      <c r="W683" s="23"/>
      <c r="X683" s="23"/>
      <c r="Y683" s="23"/>
      <c r="Z683" s="23"/>
      <c r="AA683" s="23"/>
      <c r="AB683" s="23"/>
    </row>
    <row r="684" spans="11:28" x14ac:dyDescent="0.2">
      <c r="K684" s="23"/>
      <c r="L684" s="23"/>
      <c r="M684" s="23"/>
      <c r="N684" s="23"/>
      <c r="O684" s="23"/>
      <c r="P684" s="23"/>
      <c r="Q684" s="23"/>
      <c r="R684" s="23"/>
      <c r="S684" s="23"/>
      <c r="T684" s="23"/>
      <c r="U684" s="23"/>
      <c r="V684" s="23"/>
      <c r="W684" s="23"/>
      <c r="X684" s="23"/>
      <c r="Y684" s="23"/>
      <c r="Z684" s="23"/>
      <c r="AA684" s="23"/>
      <c r="AB684" s="23"/>
    </row>
    <row r="685" spans="11:28" x14ac:dyDescent="0.2">
      <c r="K685" s="23"/>
      <c r="L685" s="23"/>
      <c r="M685" s="23"/>
      <c r="N685" s="23"/>
      <c r="O685" s="23"/>
      <c r="P685" s="23"/>
      <c r="Q685" s="23"/>
      <c r="R685" s="23"/>
      <c r="S685" s="23"/>
      <c r="T685" s="23"/>
      <c r="U685" s="23"/>
      <c r="V685" s="23"/>
      <c r="W685" s="23"/>
      <c r="X685" s="23"/>
      <c r="Y685" s="23"/>
      <c r="Z685" s="23"/>
      <c r="AA685" s="23"/>
      <c r="AB685" s="23"/>
    </row>
    <row r="686" spans="11:28" x14ac:dyDescent="0.2">
      <c r="K686" s="23"/>
      <c r="L686" s="23"/>
      <c r="M686" s="23"/>
      <c r="N686" s="23"/>
      <c r="O686" s="23"/>
      <c r="P686" s="23"/>
      <c r="Q686" s="23"/>
      <c r="R686" s="23"/>
      <c r="S686" s="23"/>
      <c r="T686" s="23"/>
      <c r="U686" s="23"/>
      <c r="V686" s="23"/>
      <c r="W686" s="23"/>
      <c r="X686" s="23"/>
      <c r="Y686" s="23"/>
      <c r="Z686" s="23"/>
      <c r="AA686" s="23"/>
      <c r="AB686" s="23"/>
    </row>
    <row r="687" spans="11:28" x14ac:dyDescent="0.2">
      <c r="K687" s="23"/>
      <c r="L687" s="23"/>
      <c r="M687" s="23"/>
      <c r="N687" s="23"/>
      <c r="O687" s="23"/>
      <c r="P687" s="23"/>
      <c r="Q687" s="23"/>
      <c r="R687" s="23"/>
      <c r="S687" s="23"/>
      <c r="T687" s="23"/>
      <c r="U687" s="23"/>
      <c r="V687" s="23"/>
      <c r="W687" s="23"/>
      <c r="X687" s="23"/>
      <c r="Y687" s="23"/>
      <c r="Z687" s="23"/>
      <c r="AA687" s="23"/>
      <c r="AB687" s="23"/>
    </row>
    <row r="688" spans="11:28" x14ac:dyDescent="0.2">
      <c r="K688" s="23"/>
      <c r="L688" s="23"/>
      <c r="M688" s="23"/>
      <c r="N688" s="23"/>
      <c r="O688" s="23"/>
      <c r="P688" s="23"/>
      <c r="Q688" s="23"/>
      <c r="R688" s="23"/>
      <c r="S688" s="23"/>
      <c r="T688" s="23"/>
      <c r="U688" s="23"/>
      <c r="V688" s="23"/>
      <c r="W688" s="23"/>
      <c r="X688" s="23"/>
      <c r="Y688" s="23"/>
      <c r="Z688" s="23"/>
      <c r="AA688" s="23"/>
      <c r="AB688" s="23"/>
    </row>
    <row r="689" spans="11:28" x14ac:dyDescent="0.2">
      <c r="K689" s="23"/>
      <c r="L689" s="23"/>
      <c r="M689" s="23"/>
      <c r="N689" s="23"/>
      <c r="O689" s="23"/>
      <c r="P689" s="23"/>
      <c r="Q689" s="23"/>
      <c r="R689" s="23"/>
      <c r="S689" s="23"/>
      <c r="T689" s="23"/>
      <c r="U689" s="23"/>
      <c r="V689" s="23"/>
      <c r="W689" s="23"/>
      <c r="X689" s="23"/>
      <c r="Y689" s="23"/>
      <c r="Z689" s="23"/>
      <c r="AA689" s="23"/>
      <c r="AB689" s="23"/>
    </row>
    <row r="690" spans="11:28" x14ac:dyDescent="0.2">
      <c r="K690" s="23"/>
      <c r="L690" s="23"/>
      <c r="M690" s="23"/>
      <c r="N690" s="23"/>
      <c r="O690" s="23"/>
      <c r="P690" s="23"/>
      <c r="Q690" s="23"/>
      <c r="R690" s="23"/>
      <c r="S690" s="23"/>
      <c r="T690" s="23"/>
      <c r="U690" s="23"/>
      <c r="V690" s="23"/>
      <c r="W690" s="23"/>
      <c r="X690" s="23"/>
      <c r="Y690" s="23"/>
      <c r="Z690" s="23"/>
      <c r="AA690" s="23"/>
      <c r="AB690" s="23"/>
    </row>
    <row r="691" spans="11:28" x14ac:dyDescent="0.2">
      <c r="K691" s="23"/>
      <c r="L691" s="23"/>
      <c r="M691" s="23"/>
      <c r="N691" s="23"/>
      <c r="O691" s="23"/>
      <c r="P691" s="23"/>
      <c r="Q691" s="23"/>
      <c r="R691" s="23"/>
      <c r="S691" s="23"/>
      <c r="T691" s="23"/>
      <c r="U691" s="23"/>
      <c r="V691" s="23"/>
      <c r="W691" s="23"/>
      <c r="X691" s="23"/>
      <c r="Y691" s="23"/>
      <c r="Z691" s="23"/>
      <c r="AA691" s="23"/>
      <c r="AB691" s="23"/>
    </row>
    <row r="692" spans="11:28" x14ac:dyDescent="0.2">
      <c r="K692" s="23"/>
      <c r="L692" s="23"/>
      <c r="M692" s="23"/>
      <c r="N692" s="23"/>
      <c r="O692" s="23"/>
      <c r="P692" s="23"/>
      <c r="Q692" s="23"/>
      <c r="R692" s="23"/>
      <c r="S692" s="23"/>
      <c r="T692" s="23"/>
      <c r="U692" s="23"/>
      <c r="V692" s="23"/>
      <c r="W692" s="23"/>
      <c r="X692" s="23"/>
      <c r="Y692" s="23"/>
      <c r="Z692" s="23"/>
      <c r="AA692" s="23"/>
      <c r="AB692" s="23"/>
    </row>
    <row r="693" spans="11:28" x14ac:dyDescent="0.2">
      <c r="K693" s="23"/>
      <c r="L693" s="23"/>
      <c r="M693" s="23"/>
      <c r="N693" s="23"/>
      <c r="O693" s="23"/>
      <c r="P693" s="23"/>
      <c r="Q693" s="23"/>
      <c r="R693" s="23"/>
      <c r="S693" s="23"/>
      <c r="T693" s="23"/>
      <c r="U693" s="23"/>
      <c r="V693" s="23"/>
      <c r="W693" s="23"/>
      <c r="X693" s="23"/>
      <c r="Y693" s="23"/>
      <c r="Z693" s="23"/>
      <c r="AA693" s="23"/>
      <c r="AB693" s="23"/>
    </row>
    <row r="694" spans="11:28" x14ac:dyDescent="0.2">
      <c r="K694" s="23"/>
      <c r="L694" s="23"/>
      <c r="M694" s="23"/>
      <c r="N694" s="23"/>
      <c r="O694" s="23"/>
      <c r="P694" s="23"/>
      <c r="Q694" s="23"/>
      <c r="R694" s="23"/>
      <c r="S694" s="23"/>
      <c r="T694" s="23"/>
      <c r="U694" s="23"/>
      <c r="V694" s="23"/>
      <c r="W694" s="23"/>
      <c r="X694" s="23"/>
      <c r="Y694" s="23"/>
      <c r="Z694" s="23"/>
      <c r="AA694" s="23"/>
      <c r="AB694" s="23"/>
    </row>
    <row r="695" spans="11:28" x14ac:dyDescent="0.2">
      <c r="K695" s="23"/>
      <c r="L695" s="23"/>
      <c r="M695" s="23"/>
      <c r="N695" s="23"/>
      <c r="O695" s="23"/>
      <c r="P695" s="23"/>
      <c r="Q695" s="23"/>
      <c r="R695" s="23"/>
      <c r="S695" s="23"/>
      <c r="T695" s="23"/>
      <c r="U695" s="23"/>
      <c r="V695" s="23"/>
      <c r="W695" s="23"/>
      <c r="X695" s="23"/>
      <c r="Y695" s="23"/>
      <c r="Z695" s="23"/>
      <c r="AA695" s="23"/>
      <c r="AB695" s="23"/>
    </row>
    <row r="696" spans="11:28" x14ac:dyDescent="0.2">
      <c r="K696" s="23"/>
      <c r="L696" s="23"/>
      <c r="M696" s="23"/>
      <c r="N696" s="23"/>
      <c r="O696" s="23"/>
      <c r="P696" s="23"/>
      <c r="Q696" s="23"/>
      <c r="R696" s="23"/>
      <c r="S696" s="23"/>
      <c r="T696" s="23"/>
      <c r="U696" s="23"/>
      <c r="V696" s="23"/>
      <c r="W696" s="23"/>
      <c r="X696" s="23"/>
      <c r="Y696" s="23"/>
      <c r="Z696" s="23"/>
      <c r="AA696" s="23"/>
      <c r="AB696" s="23"/>
    </row>
    <row r="697" spans="11:28" x14ac:dyDescent="0.2">
      <c r="K697" s="23"/>
      <c r="L697" s="23"/>
      <c r="M697" s="23"/>
      <c r="N697" s="23"/>
      <c r="O697" s="23"/>
      <c r="P697" s="23"/>
      <c r="Q697" s="23"/>
      <c r="R697" s="23"/>
      <c r="S697" s="23"/>
      <c r="T697" s="23"/>
      <c r="U697" s="23"/>
      <c r="V697" s="23"/>
      <c r="W697" s="23"/>
      <c r="X697" s="23"/>
      <c r="Y697" s="23"/>
      <c r="Z697" s="23"/>
      <c r="AA697" s="23"/>
      <c r="AB697" s="23"/>
    </row>
    <row r="698" spans="11:28" x14ac:dyDescent="0.2">
      <c r="K698" s="23"/>
      <c r="L698" s="23"/>
      <c r="M698" s="23"/>
      <c r="N698" s="23"/>
      <c r="O698" s="23"/>
      <c r="P698" s="23"/>
      <c r="Q698" s="23"/>
      <c r="R698" s="23"/>
      <c r="S698" s="23"/>
      <c r="T698" s="23"/>
      <c r="U698" s="23"/>
      <c r="V698" s="23"/>
      <c r="W698" s="23"/>
      <c r="X698" s="23"/>
      <c r="Y698" s="23"/>
      <c r="Z698" s="23"/>
      <c r="AA698" s="23"/>
      <c r="AB698" s="23"/>
    </row>
    <row r="699" spans="11:28" x14ac:dyDescent="0.2">
      <c r="K699" s="23"/>
      <c r="L699" s="23"/>
      <c r="M699" s="23"/>
      <c r="N699" s="23"/>
      <c r="O699" s="23"/>
      <c r="P699" s="23"/>
      <c r="Q699" s="23"/>
      <c r="R699" s="23"/>
      <c r="S699" s="23"/>
      <c r="T699" s="23"/>
      <c r="U699" s="23"/>
      <c r="V699" s="23"/>
      <c r="W699" s="23"/>
      <c r="X699" s="23"/>
      <c r="Y699" s="23"/>
      <c r="Z699" s="23"/>
      <c r="AA699" s="23"/>
      <c r="AB699" s="23"/>
    </row>
    <row r="700" spans="11:28" x14ac:dyDescent="0.2">
      <c r="K700" s="23"/>
      <c r="L700" s="23"/>
      <c r="M700" s="23"/>
      <c r="N700" s="23"/>
      <c r="O700" s="23"/>
      <c r="P700" s="23"/>
      <c r="Q700" s="23"/>
      <c r="R700" s="23"/>
      <c r="S700" s="23"/>
      <c r="T700" s="23"/>
      <c r="U700" s="23"/>
      <c r="V700" s="23"/>
      <c r="W700" s="23"/>
      <c r="X700" s="23"/>
      <c r="Y700" s="23"/>
      <c r="Z700" s="23"/>
      <c r="AA700" s="23"/>
      <c r="AB700" s="23"/>
    </row>
    <row r="701" spans="11:28" x14ac:dyDescent="0.2">
      <c r="K701" s="23"/>
      <c r="L701" s="23"/>
      <c r="M701" s="23"/>
      <c r="N701" s="23"/>
      <c r="O701" s="23"/>
      <c r="P701" s="23"/>
      <c r="Q701" s="23"/>
      <c r="R701" s="23"/>
      <c r="S701" s="23"/>
      <c r="T701" s="23"/>
      <c r="U701" s="23"/>
      <c r="V701" s="23"/>
      <c r="W701" s="23"/>
      <c r="X701" s="23"/>
      <c r="Y701" s="23"/>
      <c r="Z701" s="23"/>
      <c r="AA701" s="23"/>
      <c r="AB701" s="23"/>
    </row>
    <row r="702" spans="11:28" x14ac:dyDescent="0.2">
      <c r="K702" s="23"/>
      <c r="L702" s="23"/>
      <c r="M702" s="23"/>
      <c r="N702" s="23"/>
      <c r="O702" s="23"/>
      <c r="P702" s="23"/>
      <c r="Q702" s="23"/>
      <c r="R702" s="23"/>
      <c r="S702" s="23"/>
      <c r="T702" s="23"/>
      <c r="U702" s="23"/>
      <c r="V702" s="23"/>
      <c r="W702" s="23"/>
      <c r="X702" s="23"/>
      <c r="Y702" s="23"/>
      <c r="Z702" s="23"/>
      <c r="AA702" s="23"/>
      <c r="AB702" s="23"/>
    </row>
    <row r="703" spans="11:28" x14ac:dyDescent="0.2">
      <c r="K703" s="23"/>
      <c r="L703" s="23"/>
      <c r="M703" s="23"/>
      <c r="N703" s="23"/>
      <c r="O703" s="23"/>
      <c r="P703" s="23"/>
      <c r="Q703" s="23"/>
      <c r="R703" s="23"/>
      <c r="S703" s="23"/>
      <c r="T703" s="23"/>
      <c r="U703" s="23"/>
      <c r="V703" s="23"/>
      <c r="W703" s="23"/>
      <c r="X703" s="23"/>
      <c r="Y703" s="23"/>
      <c r="Z703" s="23"/>
      <c r="AA703" s="23"/>
      <c r="AB703" s="23"/>
    </row>
    <row r="704" spans="11:28" x14ac:dyDescent="0.2">
      <c r="K704" s="23"/>
      <c r="L704" s="23"/>
      <c r="M704" s="23"/>
      <c r="N704" s="23"/>
      <c r="O704" s="23"/>
      <c r="P704" s="23"/>
      <c r="Q704" s="23"/>
      <c r="R704" s="23"/>
      <c r="S704" s="23"/>
      <c r="T704" s="23"/>
      <c r="U704" s="23"/>
      <c r="V704" s="23"/>
      <c r="W704" s="23"/>
      <c r="X704" s="23"/>
      <c r="Y704" s="23"/>
      <c r="Z704" s="23"/>
      <c r="AA704" s="23"/>
      <c r="AB704" s="23"/>
    </row>
    <row r="705" spans="11:28" x14ac:dyDescent="0.2">
      <c r="K705" s="23"/>
      <c r="L705" s="23"/>
      <c r="M705" s="23"/>
      <c r="N705" s="23"/>
      <c r="O705" s="23"/>
      <c r="P705" s="23"/>
      <c r="Q705" s="23"/>
      <c r="R705" s="23"/>
      <c r="S705" s="23"/>
      <c r="T705" s="23"/>
      <c r="U705" s="23"/>
      <c r="V705" s="23"/>
      <c r="W705" s="23"/>
      <c r="X705" s="23"/>
      <c r="Y705" s="23"/>
      <c r="Z705" s="23"/>
      <c r="AA705" s="23"/>
      <c r="AB705" s="23"/>
    </row>
    <row r="706" spans="11:28" x14ac:dyDescent="0.2">
      <c r="K706" s="23"/>
      <c r="L706" s="23"/>
      <c r="M706" s="23"/>
      <c r="N706" s="23"/>
      <c r="O706" s="23"/>
      <c r="P706" s="23"/>
      <c r="Q706" s="23"/>
      <c r="R706" s="23"/>
      <c r="S706" s="23"/>
      <c r="T706" s="23"/>
      <c r="U706" s="23"/>
      <c r="V706" s="23"/>
      <c r="W706" s="23"/>
      <c r="X706" s="23"/>
      <c r="Y706" s="23"/>
      <c r="Z706" s="23"/>
      <c r="AA706" s="23"/>
      <c r="AB706" s="23"/>
    </row>
    <row r="707" spans="11:28" x14ac:dyDescent="0.2">
      <c r="K707" s="23"/>
      <c r="L707" s="23"/>
      <c r="M707" s="23"/>
      <c r="N707" s="23"/>
      <c r="O707" s="23"/>
      <c r="P707" s="23"/>
      <c r="Q707" s="23"/>
      <c r="R707" s="23"/>
      <c r="S707" s="23"/>
      <c r="T707" s="23"/>
      <c r="U707" s="23"/>
      <c r="V707" s="23"/>
      <c r="W707" s="23"/>
      <c r="X707" s="23"/>
      <c r="Y707" s="23"/>
      <c r="Z707" s="23"/>
      <c r="AA707" s="23"/>
      <c r="AB707" s="23"/>
    </row>
    <row r="708" spans="11:28" x14ac:dyDescent="0.2">
      <c r="K708" s="23"/>
      <c r="L708" s="23"/>
      <c r="M708" s="23"/>
      <c r="N708" s="23"/>
      <c r="O708" s="23"/>
      <c r="P708" s="23"/>
      <c r="Q708" s="23"/>
      <c r="R708" s="23"/>
      <c r="S708" s="23"/>
      <c r="T708" s="23"/>
      <c r="U708" s="23"/>
      <c r="V708" s="23"/>
      <c r="W708" s="23"/>
      <c r="X708" s="23"/>
      <c r="Y708" s="23"/>
      <c r="Z708" s="23"/>
      <c r="AA708" s="23"/>
      <c r="AB708" s="23"/>
    </row>
    <row r="709" spans="11:28" x14ac:dyDescent="0.2">
      <c r="K709" s="23"/>
      <c r="L709" s="23"/>
      <c r="M709" s="23"/>
      <c r="N709" s="23"/>
      <c r="O709" s="23"/>
      <c r="P709" s="23"/>
      <c r="Q709" s="23"/>
      <c r="R709" s="23"/>
      <c r="S709" s="23"/>
      <c r="T709" s="23"/>
      <c r="U709" s="23"/>
      <c r="V709" s="23"/>
      <c r="W709" s="23"/>
      <c r="X709" s="23"/>
      <c r="Y709" s="23"/>
      <c r="Z709" s="23"/>
      <c r="AA709" s="23"/>
      <c r="AB709" s="23"/>
    </row>
    <row r="710" spans="11:28" x14ac:dyDescent="0.2">
      <c r="K710" s="23"/>
      <c r="L710" s="23"/>
      <c r="M710" s="23"/>
      <c r="N710" s="23"/>
      <c r="O710" s="23"/>
      <c r="P710" s="23"/>
      <c r="Q710" s="23"/>
      <c r="R710" s="23"/>
      <c r="S710" s="23"/>
      <c r="T710" s="23"/>
      <c r="U710" s="23"/>
      <c r="V710" s="23"/>
      <c r="W710" s="23"/>
      <c r="X710" s="23"/>
      <c r="Y710" s="23"/>
      <c r="Z710" s="23"/>
      <c r="AA710" s="23"/>
      <c r="AB710" s="23"/>
    </row>
    <row r="711" spans="11:28" x14ac:dyDescent="0.2">
      <c r="K711" s="23"/>
      <c r="L711" s="23"/>
      <c r="M711" s="23"/>
      <c r="N711" s="23"/>
      <c r="O711" s="23"/>
      <c r="P711" s="23"/>
      <c r="Q711" s="23"/>
      <c r="R711" s="23"/>
      <c r="S711" s="23"/>
      <c r="T711" s="23"/>
      <c r="U711" s="23"/>
      <c r="V711" s="23"/>
      <c r="W711" s="23"/>
      <c r="X711" s="23"/>
      <c r="Y711" s="23"/>
      <c r="Z711" s="23"/>
      <c r="AA711" s="23"/>
      <c r="AB711" s="23"/>
    </row>
    <row r="712" spans="11:28" x14ac:dyDescent="0.2">
      <c r="K712" s="23"/>
      <c r="L712" s="23"/>
      <c r="M712" s="23"/>
      <c r="N712" s="23"/>
      <c r="O712" s="23"/>
      <c r="P712" s="23"/>
      <c r="Q712" s="23"/>
      <c r="R712" s="23"/>
      <c r="S712" s="23"/>
      <c r="T712" s="23"/>
      <c r="U712" s="23"/>
      <c r="V712" s="23"/>
      <c r="W712" s="23"/>
      <c r="X712" s="23"/>
      <c r="Y712" s="23"/>
      <c r="Z712" s="23"/>
      <c r="AA712" s="23"/>
      <c r="AB712" s="23"/>
    </row>
    <row r="713" spans="11:28" x14ac:dyDescent="0.2">
      <c r="K713" s="23"/>
      <c r="L713" s="23"/>
      <c r="M713" s="23"/>
      <c r="N713" s="23"/>
      <c r="O713" s="23"/>
      <c r="P713" s="23"/>
      <c r="Q713" s="23"/>
      <c r="R713" s="23"/>
      <c r="S713" s="23"/>
      <c r="T713" s="23"/>
      <c r="U713" s="23"/>
      <c r="V713" s="23"/>
      <c r="W713" s="23"/>
      <c r="X713" s="23"/>
      <c r="Y713" s="23"/>
      <c r="Z713" s="23"/>
      <c r="AA713" s="23"/>
      <c r="AB713" s="23"/>
    </row>
    <row r="714" spans="11:28" x14ac:dyDescent="0.2">
      <c r="K714" s="23"/>
      <c r="L714" s="23"/>
      <c r="M714" s="23"/>
      <c r="N714" s="23"/>
      <c r="O714" s="23"/>
      <c r="P714" s="23"/>
      <c r="Q714" s="23"/>
      <c r="R714" s="23"/>
      <c r="S714" s="23"/>
      <c r="T714" s="23"/>
      <c r="U714" s="23"/>
      <c r="V714" s="23"/>
      <c r="W714" s="23"/>
      <c r="X714" s="23"/>
      <c r="Y714" s="23"/>
      <c r="Z714" s="23"/>
      <c r="AA714" s="23"/>
      <c r="AB714" s="23"/>
    </row>
    <row r="715" spans="11:28" x14ac:dyDescent="0.2">
      <c r="K715" s="23"/>
      <c r="L715" s="23"/>
      <c r="M715" s="23"/>
      <c r="N715" s="23"/>
      <c r="O715" s="23"/>
      <c r="P715" s="23"/>
      <c r="Q715" s="23"/>
      <c r="R715" s="23"/>
      <c r="S715" s="23"/>
      <c r="T715" s="23"/>
      <c r="U715" s="23"/>
      <c r="V715" s="23"/>
      <c r="W715" s="23"/>
      <c r="X715" s="23"/>
      <c r="Y715" s="23"/>
      <c r="Z715" s="23"/>
      <c r="AA715" s="23"/>
      <c r="AB715" s="23"/>
    </row>
    <row r="716" spans="11:28" x14ac:dyDescent="0.2">
      <c r="K716" s="23"/>
      <c r="L716" s="23"/>
      <c r="M716" s="23"/>
      <c r="N716" s="23"/>
      <c r="O716" s="23"/>
      <c r="P716" s="23"/>
      <c r="Q716" s="23"/>
      <c r="R716" s="23"/>
      <c r="S716" s="23"/>
      <c r="T716" s="23"/>
      <c r="U716" s="23"/>
      <c r="V716" s="23"/>
      <c r="W716" s="23"/>
      <c r="X716" s="23"/>
      <c r="Y716" s="23"/>
      <c r="Z716" s="23"/>
      <c r="AA716" s="23"/>
      <c r="AB716" s="23"/>
    </row>
    <row r="717" spans="11:28" x14ac:dyDescent="0.2">
      <c r="K717" s="23"/>
      <c r="L717" s="23"/>
      <c r="M717" s="23"/>
      <c r="N717" s="23"/>
      <c r="O717" s="23"/>
      <c r="P717" s="23"/>
      <c r="Q717" s="23"/>
      <c r="R717" s="23"/>
      <c r="S717" s="23"/>
      <c r="T717" s="23"/>
      <c r="U717" s="23"/>
      <c r="V717" s="23"/>
      <c r="W717" s="23"/>
      <c r="X717" s="23"/>
      <c r="Y717" s="23"/>
      <c r="Z717" s="23"/>
      <c r="AA717" s="23"/>
      <c r="AB717" s="23"/>
    </row>
    <row r="718" spans="11:28" x14ac:dyDescent="0.2">
      <c r="K718" s="23"/>
      <c r="L718" s="23"/>
      <c r="M718" s="23"/>
      <c r="N718" s="23"/>
      <c r="O718" s="23"/>
      <c r="P718" s="23"/>
      <c r="Q718" s="23"/>
      <c r="R718" s="23"/>
      <c r="S718" s="23"/>
      <c r="T718" s="23"/>
      <c r="U718" s="23"/>
      <c r="V718" s="23"/>
      <c r="W718" s="23"/>
      <c r="X718" s="23"/>
      <c r="Y718" s="23"/>
      <c r="Z718" s="23"/>
      <c r="AA718" s="23"/>
      <c r="AB718" s="23"/>
    </row>
    <row r="719" spans="11:28" x14ac:dyDescent="0.2">
      <c r="K719" s="23"/>
      <c r="L719" s="23"/>
      <c r="M719" s="23"/>
      <c r="N719" s="23"/>
      <c r="O719" s="23"/>
      <c r="P719" s="23"/>
      <c r="Q719" s="23"/>
      <c r="R719" s="23"/>
      <c r="S719" s="23"/>
      <c r="T719" s="23"/>
      <c r="U719" s="23"/>
      <c r="V719" s="23"/>
      <c r="W719" s="23"/>
      <c r="X719" s="23"/>
      <c r="Y719" s="23"/>
      <c r="Z719" s="23"/>
      <c r="AA719" s="23"/>
      <c r="AB719" s="23"/>
    </row>
    <row r="720" spans="11:28" x14ac:dyDescent="0.2">
      <c r="K720" s="23"/>
      <c r="L720" s="23"/>
      <c r="M720" s="23"/>
      <c r="N720" s="23"/>
      <c r="O720" s="23"/>
      <c r="P720" s="23"/>
      <c r="Q720" s="23"/>
      <c r="R720" s="23"/>
      <c r="S720" s="23"/>
      <c r="T720" s="23"/>
      <c r="U720" s="23"/>
      <c r="V720" s="23"/>
      <c r="W720" s="23"/>
      <c r="X720" s="23"/>
      <c r="Y720" s="23"/>
      <c r="Z720" s="23"/>
      <c r="AA720" s="23"/>
      <c r="AB720" s="23"/>
    </row>
    <row r="721" spans="11:28" x14ac:dyDescent="0.2">
      <c r="K721" s="23"/>
      <c r="L721" s="23"/>
      <c r="M721" s="23"/>
      <c r="N721" s="23"/>
      <c r="O721" s="23"/>
      <c r="P721" s="23"/>
      <c r="Q721" s="23"/>
      <c r="R721" s="23"/>
      <c r="S721" s="23"/>
      <c r="T721" s="23"/>
      <c r="U721" s="23"/>
      <c r="V721" s="23"/>
      <c r="W721" s="23"/>
      <c r="X721" s="23"/>
      <c r="Y721" s="23"/>
      <c r="Z721" s="23"/>
      <c r="AA721" s="23"/>
      <c r="AB721" s="23"/>
    </row>
    <row r="722" spans="11:28" x14ac:dyDescent="0.2">
      <c r="K722" s="23"/>
      <c r="L722" s="23"/>
      <c r="M722" s="23"/>
      <c r="N722" s="23"/>
      <c r="O722" s="23"/>
      <c r="P722" s="23"/>
      <c r="Q722" s="23"/>
      <c r="R722" s="23"/>
      <c r="S722" s="23"/>
      <c r="T722" s="23"/>
      <c r="U722" s="23"/>
      <c r="V722" s="23"/>
      <c r="W722" s="23"/>
      <c r="X722" s="23"/>
      <c r="Y722" s="23"/>
      <c r="Z722" s="23"/>
      <c r="AA722" s="23"/>
      <c r="AB722" s="23"/>
    </row>
    <row r="723" spans="11:28" x14ac:dyDescent="0.2">
      <c r="K723" s="23"/>
      <c r="L723" s="23"/>
      <c r="M723" s="23"/>
      <c r="N723" s="23"/>
      <c r="O723" s="23"/>
      <c r="P723" s="23"/>
      <c r="Q723" s="23"/>
      <c r="R723" s="23"/>
      <c r="S723" s="23"/>
      <c r="T723" s="23"/>
      <c r="U723" s="23"/>
      <c r="V723" s="23"/>
      <c r="W723" s="23"/>
      <c r="X723" s="23"/>
      <c r="Y723" s="23"/>
      <c r="Z723" s="23"/>
      <c r="AA723" s="23"/>
      <c r="AB723" s="23"/>
    </row>
    <row r="724" spans="11:28" x14ac:dyDescent="0.2">
      <c r="K724" s="23"/>
      <c r="L724" s="23"/>
      <c r="M724" s="23"/>
      <c r="N724" s="23"/>
      <c r="O724" s="23"/>
      <c r="P724" s="23"/>
      <c r="Q724" s="23"/>
      <c r="R724" s="23"/>
      <c r="S724" s="23"/>
      <c r="T724" s="23"/>
      <c r="U724" s="23"/>
      <c r="V724" s="23"/>
      <c r="W724" s="23"/>
      <c r="X724" s="23"/>
      <c r="Y724" s="23"/>
      <c r="Z724" s="23"/>
      <c r="AA724" s="23"/>
      <c r="AB724" s="23"/>
    </row>
    <row r="725" spans="11:28" x14ac:dyDescent="0.2">
      <c r="K725" s="23"/>
      <c r="L725" s="23"/>
      <c r="M725" s="23"/>
      <c r="N725" s="23"/>
      <c r="O725" s="23"/>
      <c r="P725" s="23"/>
      <c r="Q725" s="23"/>
      <c r="R725" s="23"/>
      <c r="S725" s="23"/>
      <c r="T725" s="23"/>
      <c r="U725" s="23"/>
      <c r="V725" s="23"/>
      <c r="W725" s="23"/>
      <c r="X725" s="23"/>
      <c r="Y725" s="23"/>
      <c r="Z725" s="23"/>
      <c r="AA725" s="23"/>
      <c r="AB725" s="23"/>
    </row>
    <row r="726" spans="11:28" x14ac:dyDescent="0.2">
      <c r="K726" s="23"/>
      <c r="L726" s="23"/>
      <c r="M726" s="23"/>
      <c r="N726" s="23"/>
      <c r="O726" s="23"/>
      <c r="P726" s="23"/>
      <c r="Q726" s="23"/>
      <c r="R726" s="23"/>
      <c r="S726" s="23"/>
      <c r="T726" s="23"/>
      <c r="U726" s="23"/>
      <c r="V726" s="23"/>
      <c r="W726" s="23"/>
      <c r="X726" s="23"/>
      <c r="Y726" s="23"/>
      <c r="Z726" s="23"/>
      <c r="AA726" s="23"/>
      <c r="AB726" s="23"/>
    </row>
    <row r="727" spans="11:28" x14ac:dyDescent="0.2">
      <c r="K727" s="23"/>
      <c r="L727" s="23"/>
      <c r="M727" s="23"/>
      <c r="N727" s="23"/>
      <c r="O727" s="23"/>
      <c r="P727" s="23"/>
      <c r="Q727" s="23"/>
      <c r="R727" s="23"/>
      <c r="S727" s="23"/>
      <c r="T727" s="23"/>
      <c r="U727" s="23"/>
      <c r="V727" s="23"/>
      <c r="W727" s="23"/>
      <c r="X727" s="23"/>
      <c r="Y727" s="23"/>
      <c r="Z727" s="23"/>
      <c r="AA727" s="23"/>
      <c r="AB727" s="23"/>
    </row>
    <row r="728" spans="11:28" x14ac:dyDescent="0.2">
      <c r="K728" s="23"/>
      <c r="L728" s="23"/>
      <c r="M728" s="23"/>
      <c r="N728" s="23"/>
      <c r="O728" s="23"/>
      <c r="P728" s="23"/>
      <c r="Q728" s="23"/>
      <c r="R728" s="23"/>
      <c r="S728" s="23"/>
      <c r="T728" s="23"/>
      <c r="U728" s="23"/>
      <c r="V728" s="23"/>
      <c r="W728" s="23"/>
      <c r="X728" s="23"/>
      <c r="Y728" s="23"/>
      <c r="Z728" s="23"/>
      <c r="AA728" s="23"/>
      <c r="AB728" s="23"/>
    </row>
    <row r="729" spans="11:28" x14ac:dyDescent="0.2">
      <c r="K729" s="23"/>
      <c r="L729" s="23"/>
      <c r="M729" s="23"/>
      <c r="N729" s="23"/>
      <c r="O729" s="23"/>
      <c r="P729" s="23"/>
      <c r="Q729" s="23"/>
      <c r="R729" s="23"/>
      <c r="S729" s="23"/>
      <c r="T729" s="23"/>
      <c r="U729" s="23"/>
      <c r="V729" s="23"/>
      <c r="W729" s="23"/>
      <c r="X729" s="23"/>
      <c r="Y729" s="23"/>
      <c r="Z729" s="23"/>
      <c r="AA729" s="23"/>
      <c r="AB729" s="23"/>
    </row>
    <row r="730" spans="11:28" x14ac:dyDescent="0.2">
      <c r="K730" s="23"/>
      <c r="L730" s="23"/>
      <c r="M730" s="23"/>
      <c r="N730" s="23"/>
      <c r="O730" s="23"/>
      <c r="P730" s="23"/>
      <c r="Q730" s="23"/>
      <c r="R730" s="23"/>
      <c r="S730" s="23"/>
      <c r="T730" s="23"/>
      <c r="U730" s="23"/>
      <c r="V730" s="23"/>
      <c r="W730" s="23"/>
      <c r="X730" s="23"/>
      <c r="Y730" s="23"/>
      <c r="Z730" s="23"/>
      <c r="AA730" s="23"/>
      <c r="AB730" s="23"/>
    </row>
    <row r="731" spans="11:28" x14ac:dyDescent="0.2">
      <c r="K731" s="23"/>
      <c r="L731" s="23"/>
      <c r="M731" s="23"/>
      <c r="N731" s="23"/>
      <c r="O731" s="23"/>
      <c r="P731" s="23"/>
      <c r="Q731" s="23"/>
      <c r="R731" s="23"/>
      <c r="S731" s="23"/>
      <c r="T731" s="23"/>
      <c r="U731" s="23"/>
      <c r="V731" s="23"/>
      <c r="W731" s="23"/>
      <c r="X731" s="23"/>
      <c r="Y731" s="23"/>
      <c r="Z731" s="23"/>
      <c r="AA731" s="23"/>
      <c r="AB731" s="23"/>
    </row>
    <row r="732" spans="11:28" x14ac:dyDescent="0.2">
      <c r="K732" s="23"/>
      <c r="L732" s="23"/>
      <c r="M732" s="23"/>
      <c r="N732" s="23"/>
      <c r="O732" s="23"/>
      <c r="P732" s="23"/>
      <c r="Q732" s="23"/>
      <c r="R732" s="23"/>
      <c r="S732" s="23"/>
      <c r="T732" s="23"/>
      <c r="U732" s="23"/>
      <c r="V732" s="23"/>
      <c r="W732" s="23"/>
      <c r="X732" s="23"/>
      <c r="Y732" s="23"/>
      <c r="Z732" s="23"/>
      <c r="AA732" s="23"/>
      <c r="AB732" s="23"/>
    </row>
    <row r="733" spans="11:28" x14ac:dyDescent="0.2">
      <c r="K733" s="23"/>
      <c r="L733" s="23"/>
      <c r="M733" s="23"/>
      <c r="N733" s="23"/>
      <c r="O733" s="23"/>
      <c r="P733" s="23"/>
      <c r="Q733" s="23"/>
      <c r="R733" s="23"/>
      <c r="S733" s="23"/>
      <c r="T733" s="23"/>
      <c r="U733" s="23"/>
      <c r="V733" s="23"/>
      <c r="W733" s="23"/>
      <c r="X733" s="23"/>
      <c r="Y733" s="23"/>
      <c r="Z733" s="23"/>
      <c r="AA733" s="23"/>
      <c r="AB733" s="23"/>
    </row>
    <row r="734" spans="11:28" x14ac:dyDescent="0.2">
      <c r="K734" s="23"/>
      <c r="L734" s="23"/>
      <c r="M734" s="23"/>
      <c r="N734" s="23"/>
      <c r="O734" s="23"/>
      <c r="P734" s="23"/>
      <c r="Q734" s="23"/>
      <c r="R734" s="23"/>
      <c r="S734" s="23"/>
      <c r="T734" s="23"/>
      <c r="U734" s="23"/>
      <c r="V734" s="23"/>
      <c r="W734" s="23"/>
      <c r="X734" s="23"/>
      <c r="Y734" s="23"/>
      <c r="Z734" s="23"/>
      <c r="AA734" s="23"/>
      <c r="AB734" s="23"/>
    </row>
    <row r="735" spans="11:28" x14ac:dyDescent="0.2">
      <c r="K735" s="23"/>
      <c r="L735" s="23"/>
      <c r="M735" s="23"/>
      <c r="N735" s="23"/>
      <c r="O735" s="23"/>
      <c r="P735" s="23"/>
      <c r="Q735" s="23"/>
      <c r="R735" s="23"/>
      <c r="S735" s="23"/>
      <c r="T735" s="23"/>
      <c r="U735" s="23"/>
      <c r="V735" s="23"/>
      <c r="W735" s="23"/>
      <c r="X735" s="23"/>
      <c r="Y735" s="23"/>
      <c r="Z735" s="23"/>
      <c r="AA735" s="23"/>
      <c r="AB735" s="23"/>
    </row>
    <row r="736" spans="11:28" x14ac:dyDescent="0.2">
      <c r="K736" s="23"/>
      <c r="L736" s="23"/>
      <c r="M736" s="23"/>
      <c r="N736" s="23"/>
      <c r="O736" s="23"/>
      <c r="P736" s="23"/>
      <c r="Q736" s="23"/>
      <c r="R736" s="23"/>
      <c r="S736" s="23"/>
      <c r="T736" s="23"/>
      <c r="U736" s="23"/>
      <c r="V736" s="23"/>
      <c r="W736" s="23"/>
      <c r="X736" s="23"/>
      <c r="Y736" s="23"/>
      <c r="Z736" s="23"/>
      <c r="AA736" s="23"/>
      <c r="AB736" s="23"/>
    </row>
    <row r="737" spans="11:28" x14ac:dyDescent="0.2">
      <c r="K737" s="23"/>
      <c r="L737" s="23"/>
      <c r="M737" s="23"/>
      <c r="N737" s="23"/>
      <c r="O737" s="23"/>
      <c r="P737" s="23"/>
      <c r="Q737" s="23"/>
      <c r="R737" s="23"/>
      <c r="S737" s="23"/>
      <c r="T737" s="23"/>
      <c r="U737" s="23"/>
      <c r="V737" s="23"/>
      <c r="W737" s="23"/>
      <c r="X737" s="23"/>
      <c r="Y737" s="23"/>
      <c r="Z737" s="23"/>
      <c r="AA737" s="23"/>
      <c r="AB737" s="23"/>
    </row>
    <row r="738" spans="11:28" x14ac:dyDescent="0.2">
      <c r="K738" s="23"/>
      <c r="L738" s="23"/>
      <c r="M738" s="23"/>
      <c r="N738" s="23"/>
      <c r="O738" s="23"/>
      <c r="P738" s="23"/>
      <c r="Q738" s="23"/>
      <c r="R738" s="23"/>
      <c r="S738" s="23"/>
      <c r="T738" s="23"/>
      <c r="U738" s="23"/>
      <c r="V738" s="23"/>
      <c r="W738" s="23"/>
      <c r="X738" s="23"/>
      <c r="Y738" s="23"/>
      <c r="Z738" s="23"/>
      <c r="AA738" s="23"/>
      <c r="AB738" s="23"/>
    </row>
    <row r="739" spans="11:28" x14ac:dyDescent="0.2">
      <c r="K739" s="23"/>
      <c r="L739" s="23"/>
      <c r="M739" s="23"/>
      <c r="N739" s="23"/>
      <c r="O739" s="23"/>
      <c r="P739" s="23"/>
      <c r="Q739" s="23"/>
      <c r="R739" s="23"/>
      <c r="S739" s="23"/>
      <c r="T739" s="23"/>
      <c r="U739" s="23"/>
      <c r="V739" s="23"/>
      <c r="W739" s="23"/>
      <c r="X739" s="23"/>
      <c r="Y739" s="23"/>
      <c r="Z739" s="23"/>
      <c r="AA739" s="23"/>
      <c r="AB739" s="23"/>
    </row>
    <row r="740" spans="11:28" x14ac:dyDescent="0.2">
      <c r="K740" s="23"/>
      <c r="L740" s="23"/>
      <c r="M740" s="23"/>
      <c r="N740" s="23"/>
      <c r="O740" s="23"/>
      <c r="P740" s="23"/>
      <c r="Q740" s="23"/>
      <c r="R740" s="23"/>
      <c r="S740" s="23"/>
      <c r="T740" s="23"/>
      <c r="U740" s="23"/>
      <c r="V740" s="23"/>
      <c r="W740" s="23"/>
      <c r="X740" s="23"/>
      <c r="Y740" s="23"/>
      <c r="Z740" s="23"/>
      <c r="AA740" s="23"/>
      <c r="AB740" s="23"/>
    </row>
    <row r="741" spans="11:28" x14ac:dyDescent="0.2">
      <c r="K741" s="23"/>
      <c r="L741" s="23"/>
      <c r="M741" s="23"/>
      <c r="N741" s="23"/>
      <c r="O741" s="23"/>
      <c r="P741" s="23"/>
      <c r="Q741" s="23"/>
      <c r="R741" s="23"/>
      <c r="S741" s="23"/>
      <c r="T741" s="23"/>
      <c r="U741" s="23"/>
      <c r="V741" s="23"/>
      <c r="W741" s="23"/>
      <c r="X741" s="23"/>
      <c r="Y741" s="23"/>
      <c r="Z741" s="23"/>
      <c r="AA741" s="23"/>
      <c r="AB741" s="23"/>
    </row>
    <row r="742" spans="11:28" x14ac:dyDescent="0.2">
      <c r="K742" s="23"/>
      <c r="L742" s="23"/>
      <c r="M742" s="23"/>
      <c r="N742" s="23"/>
      <c r="O742" s="23"/>
      <c r="P742" s="23"/>
      <c r="Q742" s="23"/>
      <c r="R742" s="23"/>
      <c r="S742" s="23"/>
      <c r="T742" s="23"/>
      <c r="U742" s="23"/>
      <c r="V742" s="23"/>
      <c r="W742" s="23"/>
      <c r="X742" s="23"/>
      <c r="Y742" s="23"/>
      <c r="Z742" s="23"/>
      <c r="AA742" s="23"/>
      <c r="AB742" s="23"/>
    </row>
    <row r="743" spans="11:28" x14ac:dyDescent="0.2">
      <c r="K743" s="23"/>
      <c r="L743" s="23"/>
      <c r="M743" s="23"/>
      <c r="N743" s="23"/>
      <c r="O743" s="23"/>
      <c r="P743" s="23"/>
      <c r="Q743" s="23"/>
      <c r="R743" s="23"/>
      <c r="S743" s="23"/>
      <c r="T743" s="23"/>
      <c r="U743" s="23"/>
      <c r="V743" s="23"/>
      <c r="W743" s="23"/>
      <c r="X743" s="23"/>
      <c r="Y743" s="23"/>
      <c r="Z743" s="23"/>
      <c r="AA743" s="23"/>
      <c r="AB743" s="23"/>
    </row>
    <row r="744" spans="11:28" x14ac:dyDescent="0.2">
      <c r="K744" s="23"/>
      <c r="L744" s="23"/>
      <c r="M744" s="23"/>
      <c r="N744" s="23"/>
      <c r="O744" s="23"/>
      <c r="P744" s="23"/>
      <c r="Q744" s="23"/>
      <c r="R744" s="23"/>
      <c r="S744" s="23"/>
      <c r="T744" s="23"/>
      <c r="U744" s="23"/>
      <c r="V744" s="23"/>
      <c r="W744" s="23"/>
      <c r="X744" s="23"/>
      <c r="Y744" s="23"/>
      <c r="Z744" s="23"/>
      <c r="AA744" s="23"/>
      <c r="AB744" s="23"/>
    </row>
    <row r="745" spans="11:28" x14ac:dyDescent="0.2">
      <c r="K745" s="23"/>
      <c r="L745" s="23"/>
      <c r="M745" s="23"/>
      <c r="N745" s="23"/>
      <c r="O745" s="23"/>
      <c r="P745" s="23"/>
      <c r="Q745" s="23"/>
      <c r="R745" s="23"/>
      <c r="S745" s="23"/>
      <c r="T745" s="23"/>
      <c r="U745" s="23"/>
      <c r="V745" s="23"/>
      <c r="W745" s="23"/>
      <c r="X745" s="23"/>
      <c r="Y745" s="23"/>
      <c r="Z745" s="23"/>
      <c r="AA745" s="23"/>
      <c r="AB745" s="23"/>
    </row>
    <row r="746" spans="11:28" x14ac:dyDescent="0.2">
      <c r="K746" s="23"/>
      <c r="L746" s="23"/>
      <c r="M746" s="23"/>
      <c r="N746" s="23"/>
      <c r="O746" s="23"/>
      <c r="P746" s="23"/>
      <c r="Q746" s="23"/>
      <c r="R746" s="23"/>
      <c r="S746" s="23"/>
      <c r="T746" s="23"/>
      <c r="U746" s="23"/>
      <c r="V746" s="23"/>
      <c r="W746" s="23"/>
      <c r="X746" s="23"/>
      <c r="Y746" s="23"/>
      <c r="Z746" s="23"/>
      <c r="AA746" s="23"/>
      <c r="AB746" s="23"/>
    </row>
    <row r="747" spans="11:28" x14ac:dyDescent="0.2">
      <c r="K747" s="23"/>
      <c r="L747" s="23"/>
      <c r="M747" s="23"/>
      <c r="N747" s="23"/>
      <c r="O747" s="23"/>
      <c r="P747" s="23"/>
      <c r="Q747" s="23"/>
      <c r="R747" s="23"/>
      <c r="S747" s="23"/>
      <c r="T747" s="23"/>
      <c r="U747" s="23"/>
      <c r="V747" s="23"/>
      <c r="W747" s="23"/>
      <c r="X747" s="23"/>
      <c r="Y747" s="23"/>
      <c r="Z747" s="23"/>
      <c r="AA747" s="23"/>
      <c r="AB747" s="23"/>
    </row>
    <row r="748" spans="11:28" x14ac:dyDescent="0.2">
      <c r="K748" s="23"/>
      <c r="L748" s="23"/>
      <c r="M748" s="23"/>
      <c r="N748" s="23"/>
      <c r="O748" s="23"/>
      <c r="P748" s="23"/>
      <c r="Q748" s="23"/>
      <c r="R748" s="23"/>
      <c r="S748" s="23"/>
      <c r="T748" s="23"/>
      <c r="U748" s="23"/>
      <c r="V748" s="23"/>
      <c r="W748" s="23"/>
      <c r="X748" s="23"/>
      <c r="Y748" s="23"/>
      <c r="Z748" s="23"/>
      <c r="AA748" s="23"/>
      <c r="AB748" s="23"/>
    </row>
    <row r="749" spans="11:28" x14ac:dyDescent="0.2">
      <c r="K749" s="23"/>
      <c r="L749" s="23"/>
      <c r="M749" s="23"/>
      <c r="N749" s="23"/>
      <c r="O749" s="23"/>
      <c r="P749" s="23"/>
      <c r="Q749" s="23"/>
      <c r="R749" s="23"/>
      <c r="S749" s="23"/>
      <c r="T749" s="23"/>
      <c r="U749" s="23"/>
      <c r="V749" s="23"/>
      <c r="W749" s="23"/>
      <c r="X749" s="23"/>
      <c r="Y749" s="23"/>
      <c r="Z749" s="23"/>
      <c r="AA749" s="23"/>
      <c r="AB749" s="23"/>
    </row>
    <row r="750" spans="11:28" x14ac:dyDescent="0.2">
      <c r="K750" s="23"/>
      <c r="L750" s="23"/>
      <c r="M750" s="23"/>
      <c r="N750" s="23"/>
      <c r="O750" s="23"/>
      <c r="P750" s="23"/>
      <c r="Q750" s="23"/>
      <c r="R750" s="23"/>
      <c r="S750" s="23"/>
      <c r="T750" s="23"/>
      <c r="U750" s="23"/>
      <c r="V750" s="23"/>
      <c r="W750" s="23"/>
      <c r="X750" s="23"/>
      <c r="Y750" s="23"/>
      <c r="Z750" s="23"/>
      <c r="AA750" s="23"/>
      <c r="AB750" s="23"/>
    </row>
    <row r="751" spans="11:28" x14ac:dyDescent="0.2">
      <c r="K751" s="23"/>
      <c r="L751" s="23"/>
      <c r="M751" s="23"/>
      <c r="N751" s="23"/>
      <c r="O751" s="23"/>
      <c r="P751" s="23"/>
      <c r="Q751" s="23"/>
      <c r="R751" s="23"/>
      <c r="S751" s="23"/>
      <c r="T751" s="23"/>
      <c r="U751" s="23"/>
      <c r="V751" s="23"/>
      <c r="W751" s="23"/>
      <c r="X751" s="23"/>
      <c r="Y751" s="23"/>
      <c r="Z751" s="23"/>
      <c r="AA751" s="23"/>
      <c r="AB751" s="23"/>
    </row>
    <row r="752" spans="11:28" x14ac:dyDescent="0.2">
      <c r="K752" s="23"/>
      <c r="L752" s="23"/>
      <c r="M752" s="23"/>
      <c r="N752" s="23"/>
      <c r="O752" s="23"/>
      <c r="P752" s="23"/>
      <c r="Q752" s="23"/>
      <c r="R752" s="23"/>
      <c r="S752" s="23"/>
      <c r="T752" s="23"/>
      <c r="U752" s="23"/>
      <c r="V752" s="23"/>
      <c r="W752" s="23"/>
      <c r="X752" s="23"/>
      <c r="Y752" s="23"/>
      <c r="Z752" s="23"/>
      <c r="AA752" s="23"/>
      <c r="AB752" s="23"/>
    </row>
    <row r="753" spans="11:28" x14ac:dyDescent="0.2">
      <c r="K753" s="23"/>
      <c r="L753" s="23"/>
      <c r="M753" s="23"/>
      <c r="N753" s="23"/>
      <c r="O753" s="23"/>
      <c r="P753" s="23"/>
      <c r="Q753" s="23"/>
      <c r="R753" s="23"/>
      <c r="S753" s="23"/>
      <c r="T753" s="23"/>
      <c r="U753" s="23"/>
      <c r="V753" s="23"/>
      <c r="W753" s="23"/>
      <c r="X753" s="23"/>
      <c r="Y753" s="23"/>
      <c r="Z753" s="23"/>
      <c r="AA753" s="23"/>
      <c r="AB753" s="23"/>
    </row>
    <row r="754" spans="11:28" x14ac:dyDescent="0.2">
      <c r="K754" s="23"/>
      <c r="L754" s="23"/>
      <c r="M754" s="23"/>
      <c r="N754" s="23"/>
      <c r="O754" s="23"/>
      <c r="P754" s="23"/>
      <c r="Q754" s="23"/>
      <c r="R754" s="23"/>
      <c r="S754" s="23"/>
      <c r="T754" s="23"/>
      <c r="U754" s="23"/>
      <c r="V754" s="23"/>
      <c r="W754" s="23"/>
      <c r="X754" s="23"/>
      <c r="Y754" s="23"/>
      <c r="Z754" s="23"/>
      <c r="AA754" s="23"/>
      <c r="AB754" s="23"/>
    </row>
    <row r="755" spans="11:28" x14ac:dyDescent="0.2">
      <c r="K755" s="23"/>
      <c r="L755" s="23"/>
      <c r="M755" s="23"/>
      <c r="N755" s="23"/>
      <c r="O755" s="23"/>
      <c r="P755" s="23"/>
      <c r="Q755" s="23"/>
      <c r="R755" s="23"/>
      <c r="S755" s="23"/>
      <c r="T755" s="23"/>
      <c r="U755" s="23"/>
      <c r="V755" s="23"/>
      <c r="W755" s="23"/>
      <c r="X755" s="23"/>
      <c r="Y755" s="23"/>
      <c r="Z755" s="23"/>
      <c r="AA755" s="23"/>
      <c r="AB755" s="23"/>
    </row>
    <row r="756" spans="11:28" x14ac:dyDescent="0.2">
      <c r="K756" s="23"/>
      <c r="L756" s="23"/>
      <c r="M756" s="23"/>
      <c r="N756" s="23"/>
      <c r="O756" s="23"/>
      <c r="P756" s="23"/>
      <c r="Q756" s="23"/>
      <c r="R756" s="23"/>
      <c r="S756" s="23"/>
      <c r="T756" s="23"/>
      <c r="U756" s="23"/>
      <c r="V756" s="23"/>
      <c r="W756" s="23"/>
      <c r="X756" s="23"/>
      <c r="Y756" s="23"/>
      <c r="Z756" s="23"/>
      <c r="AA756" s="23"/>
      <c r="AB756" s="23"/>
    </row>
    <row r="757" spans="11:28" x14ac:dyDescent="0.2">
      <c r="K757" s="23"/>
      <c r="L757" s="23"/>
      <c r="M757" s="23"/>
      <c r="N757" s="23"/>
      <c r="O757" s="23"/>
      <c r="P757" s="23"/>
      <c r="Q757" s="23"/>
      <c r="R757" s="23"/>
      <c r="S757" s="23"/>
      <c r="T757" s="23"/>
      <c r="U757" s="23"/>
      <c r="V757" s="23"/>
      <c r="W757" s="23"/>
      <c r="X757" s="23"/>
      <c r="Y757" s="23"/>
      <c r="Z757" s="23"/>
      <c r="AA757" s="23"/>
      <c r="AB757" s="23"/>
    </row>
    <row r="758" spans="11:28" x14ac:dyDescent="0.2">
      <c r="K758" s="23"/>
      <c r="L758" s="23"/>
      <c r="M758" s="23"/>
      <c r="N758" s="23"/>
      <c r="O758" s="23"/>
      <c r="P758" s="23"/>
      <c r="Q758" s="23"/>
      <c r="R758" s="23"/>
      <c r="S758" s="23"/>
      <c r="T758" s="23"/>
      <c r="U758" s="23"/>
      <c r="V758" s="23"/>
      <c r="W758" s="23"/>
      <c r="X758" s="23"/>
      <c r="Y758" s="23"/>
      <c r="Z758" s="23"/>
      <c r="AA758" s="23"/>
      <c r="AB758" s="23"/>
    </row>
    <row r="759" spans="11:28" x14ac:dyDescent="0.2">
      <c r="K759" s="23"/>
      <c r="L759" s="23"/>
      <c r="M759" s="23"/>
      <c r="N759" s="23"/>
      <c r="O759" s="23"/>
      <c r="P759" s="23"/>
      <c r="Q759" s="23"/>
      <c r="R759" s="23"/>
      <c r="S759" s="23"/>
      <c r="T759" s="23"/>
      <c r="U759" s="23"/>
      <c r="V759" s="23"/>
      <c r="W759" s="23"/>
      <c r="X759" s="23"/>
      <c r="Y759" s="23"/>
      <c r="Z759" s="23"/>
      <c r="AA759" s="23"/>
      <c r="AB759" s="23"/>
    </row>
    <row r="760" spans="11:28" x14ac:dyDescent="0.2">
      <c r="K760" s="23"/>
      <c r="L760" s="23"/>
      <c r="M760" s="23"/>
      <c r="N760" s="23"/>
      <c r="O760" s="23"/>
      <c r="P760" s="23"/>
      <c r="Q760" s="23"/>
      <c r="R760" s="23"/>
      <c r="S760" s="23"/>
      <c r="T760" s="23"/>
      <c r="U760" s="23"/>
      <c r="V760" s="23"/>
      <c r="W760" s="23"/>
      <c r="X760" s="23"/>
      <c r="Y760" s="23"/>
      <c r="Z760" s="23"/>
      <c r="AA760" s="23"/>
      <c r="AB760" s="23"/>
    </row>
    <row r="761" spans="11:28" x14ac:dyDescent="0.2">
      <c r="K761" s="23"/>
      <c r="L761" s="23"/>
      <c r="M761" s="23"/>
      <c r="N761" s="23"/>
      <c r="O761" s="23"/>
      <c r="P761" s="23"/>
      <c r="Q761" s="23"/>
      <c r="R761" s="23"/>
      <c r="S761" s="23"/>
      <c r="T761" s="23"/>
      <c r="U761" s="23"/>
      <c r="V761" s="23"/>
      <c r="W761" s="23"/>
      <c r="X761" s="23"/>
      <c r="Y761" s="23"/>
      <c r="Z761" s="23"/>
      <c r="AA761" s="23"/>
      <c r="AB761" s="23"/>
    </row>
    <row r="762" spans="11:28" x14ac:dyDescent="0.2">
      <c r="K762" s="23"/>
      <c r="L762" s="23"/>
      <c r="M762" s="23"/>
      <c r="N762" s="23"/>
      <c r="O762" s="23"/>
      <c r="P762" s="23"/>
      <c r="Q762" s="23"/>
      <c r="R762" s="23"/>
      <c r="S762" s="23"/>
      <c r="T762" s="23"/>
      <c r="U762" s="23"/>
      <c r="V762" s="23"/>
      <c r="W762" s="23"/>
      <c r="X762" s="23"/>
      <c r="Y762" s="23"/>
      <c r="Z762" s="23"/>
      <c r="AA762" s="23"/>
      <c r="AB762" s="23"/>
    </row>
    <row r="763" spans="11:28" x14ac:dyDescent="0.2">
      <c r="K763" s="23"/>
      <c r="L763" s="23"/>
      <c r="M763" s="23"/>
      <c r="N763" s="23"/>
      <c r="O763" s="23"/>
      <c r="P763" s="23"/>
      <c r="Q763" s="23"/>
      <c r="R763" s="23"/>
      <c r="S763" s="23"/>
      <c r="T763" s="23"/>
      <c r="U763" s="23"/>
      <c r="V763" s="23"/>
      <c r="W763" s="23"/>
      <c r="X763" s="23"/>
      <c r="Y763" s="23"/>
      <c r="Z763" s="23"/>
      <c r="AA763" s="23"/>
      <c r="AB763" s="23"/>
    </row>
    <row r="764" spans="11:28" x14ac:dyDescent="0.2">
      <c r="K764" s="23"/>
      <c r="L764" s="23"/>
      <c r="M764" s="23"/>
      <c r="N764" s="23"/>
      <c r="O764" s="23"/>
      <c r="P764" s="23"/>
      <c r="Q764" s="23"/>
      <c r="R764" s="23"/>
      <c r="S764" s="23"/>
      <c r="T764" s="23"/>
      <c r="U764" s="23"/>
      <c r="V764" s="23"/>
      <c r="W764" s="23"/>
      <c r="X764" s="23"/>
      <c r="Y764" s="23"/>
      <c r="Z764" s="23"/>
      <c r="AA764" s="23"/>
      <c r="AB764" s="23"/>
    </row>
    <row r="765" spans="11:28" x14ac:dyDescent="0.2">
      <c r="K765" s="23"/>
      <c r="L765" s="23"/>
      <c r="M765" s="23"/>
      <c r="N765" s="23"/>
      <c r="O765" s="23"/>
      <c r="P765" s="23"/>
      <c r="Q765" s="23"/>
      <c r="R765" s="23"/>
      <c r="S765" s="23"/>
      <c r="T765" s="23"/>
      <c r="U765" s="23"/>
      <c r="V765" s="23"/>
      <c r="W765" s="23"/>
      <c r="X765" s="23"/>
      <c r="Y765" s="23"/>
      <c r="Z765" s="23"/>
      <c r="AA765" s="23"/>
      <c r="AB765" s="23"/>
    </row>
    <row r="766" spans="11:28" x14ac:dyDescent="0.2">
      <c r="K766" s="23"/>
      <c r="L766" s="23"/>
      <c r="M766" s="23"/>
      <c r="N766" s="23"/>
      <c r="O766" s="23"/>
      <c r="P766" s="23"/>
      <c r="Q766" s="23"/>
      <c r="R766" s="23"/>
      <c r="S766" s="23"/>
      <c r="T766" s="23"/>
      <c r="U766" s="23"/>
      <c r="V766" s="23"/>
      <c r="W766" s="23"/>
      <c r="X766" s="23"/>
      <c r="Y766" s="23"/>
      <c r="Z766" s="23"/>
      <c r="AA766" s="23"/>
      <c r="AB766" s="23"/>
    </row>
    <row r="767" spans="11:28" x14ac:dyDescent="0.2">
      <c r="K767" s="23"/>
      <c r="L767" s="23"/>
      <c r="M767" s="23"/>
      <c r="N767" s="23"/>
      <c r="O767" s="23"/>
      <c r="P767" s="23"/>
      <c r="Q767" s="23"/>
      <c r="R767" s="23"/>
      <c r="S767" s="23"/>
      <c r="T767" s="23"/>
      <c r="U767" s="23"/>
      <c r="V767" s="23"/>
      <c r="W767" s="23"/>
      <c r="X767" s="23"/>
      <c r="Y767" s="23"/>
      <c r="Z767" s="23"/>
      <c r="AA767" s="23"/>
      <c r="AB767" s="23"/>
    </row>
    <row r="768" spans="11:28" x14ac:dyDescent="0.2">
      <c r="K768" s="23"/>
      <c r="L768" s="23"/>
      <c r="M768" s="23"/>
      <c r="N768" s="23"/>
      <c r="O768" s="23"/>
      <c r="P768" s="23"/>
      <c r="Q768" s="23"/>
      <c r="R768" s="23"/>
      <c r="S768" s="23"/>
      <c r="T768" s="23"/>
      <c r="U768" s="23"/>
      <c r="V768" s="23"/>
      <c r="W768" s="23"/>
      <c r="X768" s="23"/>
      <c r="Y768" s="23"/>
      <c r="Z768" s="23"/>
      <c r="AA768" s="23"/>
      <c r="AB768" s="23"/>
    </row>
    <row r="769" spans="11:28" x14ac:dyDescent="0.2">
      <c r="K769" s="23"/>
      <c r="L769" s="23"/>
      <c r="M769" s="23"/>
      <c r="N769" s="23"/>
      <c r="O769" s="23"/>
      <c r="P769" s="23"/>
      <c r="Q769" s="23"/>
      <c r="R769" s="23"/>
      <c r="S769" s="23"/>
      <c r="T769" s="23"/>
      <c r="U769" s="23"/>
      <c r="V769" s="23"/>
      <c r="W769" s="23"/>
      <c r="X769" s="23"/>
      <c r="Y769" s="23"/>
      <c r="Z769" s="23"/>
      <c r="AA769" s="23"/>
      <c r="AB769" s="23"/>
    </row>
    <row r="770" spans="11:28" x14ac:dyDescent="0.2">
      <c r="K770" s="23"/>
      <c r="L770" s="23"/>
      <c r="M770" s="23"/>
      <c r="N770" s="23"/>
      <c r="O770" s="23"/>
      <c r="P770" s="23"/>
      <c r="Q770" s="23"/>
      <c r="R770" s="23"/>
      <c r="S770" s="23"/>
      <c r="T770" s="23"/>
      <c r="U770" s="23"/>
      <c r="V770" s="23"/>
      <c r="W770" s="23"/>
      <c r="X770" s="23"/>
      <c r="Y770" s="23"/>
      <c r="Z770" s="23"/>
      <c r="AA770" s="23"/>
      <c r="AB770" s="23"/>
    </row>
    <row r="771" spans="11:28" x14ac:dyDescent="0.2">
      <c r="K771" s="23"/>
      <c r="L771" s="23"/>
      <c r="M771" s="23"/>
      <c r="N771" s="23"/>
      <c r="O771" s="23"/>
      <c r="P771" s="23"/>
      <c r="Q771" s="23"/>
      <c r="R771" s="23"/>
      <c r="S771" s="23"/>
      <c r="T771" s="23"/>
      <c r="U771" s="23"/>
      <c r="V771" s="23"/>
      <c r="W771" s="23"/>
      <c r="X771" s="23"/>
      <c r="Y771" s="23"/>
      <c r="Z771" s="23"/>
      <c r="AA771" s="23"/>
      <c r="AB771" s="23"/>
    </row>
    <row r="772" spans="11:28" x14ac:dyDescent="0.2">
      <c r="K772" s="23"/>
      <c r="L772" s="23"/>
      <c r="M772" s="23"/>
      <c r="N772" s="23"/>
      <c r="O772" s="23"/>
      <c r="P772" s="23"/>
      <c r="Q772" s="23"/>
      <c r="R772" s="23"/>
      <c r="S772" s="23"/>
      <c r="T772" s="23"/>
      <c r="U772" s="23"/>
      <c r="V772" s="23"/>
      <c r="W772" s="23"/>
      <c r="X772" s="23"/>
      <c r="Y772" s="23"/>
      <c r="Z772" s="23"/>
      <c r="AA772" s="23"/>
      <c r="AB772" s="23"/>
    </row>
    <row r="773" spans="11:28" x14ac:dyDescent="0.2">
      <c r="K773" s="23"/>
      <c r="L773" s="23"/>
      <c r="M773" s="23"/>
      <c r="N773" s="23"/>
      <c r="O773" s="23"/>
      <c r="P773" s="23"/>
      <c r="Q773" s="23"/>
      <c r="R773" s="23"/>
      <c r="S773" s="23"/>
      <c r="T773" s="23"/>
      <c r="U773" s="23"/>
      <c r="V773" s="23"/>
      <c r="W773" s="23"/>
      <c r="X773" s="23"/>
      <c r="Y773" s="23"/>
      <c r="Z773" s="23"/>
      <c r="AA773" s="23"/>
      <c r="AB773" s="23"/>
    </row>
    <row r="774" spans="11:28" x14ac:dyDescent="0.2">
      <c r="K774" s="23"/>
      <c r="L774" s="23"/>
      <c r="M774" s="23"/>
      <c r="N774" s="23"/>
      <c r="O774" s="23"/>
      <c r="P774" s="23"/>
      <c r="Q774" s="23"/>
      <c r="R774" s="23"/>
      <c r="S774" s="23"/>
      <c r="T774" s="23"/>
      <c r="U774" s="23"/>
      <c r="V774" s="23"/>
      <c r="W774" s="23"/>
      <c r="X774" s="23"/>
      <c r="Y774" s="23"/>
      <c r="Z774" s="23"/>
      <c r="AA774" s="23"/>
      <c r="AB774" s="23"/>
    </row>
    <row r="775" spans="11:28" x14ac:dyDescent="0.2">
      <c r="K775" s="23"/>
      <c r="L775" s="23"/>
      <c r="M775" s="23"/>
      <c r="N775" s="23"/>
      <c r="O775" s="23"/>
      <c r="P775" s="23"/>
      <c r="Q775" s="23"/>
      <c r="R775" s="23"/>
      <c r="S775" s="23"/>
      <c r="T775" s="23"/>
      <c r="U775" s="23"/>
      <c r="V775" s="23"/>
      <c r="W775" s="23"/>
      <c r="X775" s="23"/>
      <c r="Y775" s="23"/>
      <c r="Z775" s="23"/>
      <c r="AA775" s="23"/>
      <c r="AB775" s="23"/>
    </row>
    <row r="776" spans="11:28" x14ac:dyDescent="0.2">
      <c r="K776" s="23"/>
      <c r="L776" s="23"/>
      <c r="M776" s="23"/>
      <c r="N776" s="23"/>
      <c r="O776" s="23"/>
      <c r="P776" s="23"/>
      <c r="Q776" s="23"/>
      <c r="R776" s="23"/>
      <c r="S776" s="23"/>
      <c r="T776" s="23"/>
      <c r="U776" s="23"/>
      <c r="V776" s="23"/>
      <c r="W776" s="23"/>
      <c r="X776" s="23"/>
      <c r="Y776" s="23"/>
      <c r="Z776" s="23"/>
      <c r="AA776" s="23"/>
      <c r="AB776" s="23"/>
    </row>
    <row r="777" spans="11:28" x14ac:dyDescent="0.2">
      <c r="K777" s="23"/>
      <c r="L777" s="23"/>
      <c r="M777" s="23"/>
      <c r="N777" s="23"/>
      <c r="O777" s="23"/>
      <c r="P777" s="23"/>
      <c r="Q777" s="23"/>
      <c r="R777" s="23"/>
      <c r="S777" s="23"/>
      <c r="T777" s="23"/>
      <c r="U777" s="23"/>
      <c r="V777" s="23"/>
      <c r="W777" s="23"/>
      <c r="X777" s="23"/>
      <c r="Y777" s="23"/>
      <c r="Z777" s="23"/>
      <c r="AA777" s="23"/>
      <c r="AB777" s="23"/>
    </row>
    <row r="778" spans="11:28" x14ac:dyDescent="0.2">
      <c r="K778" s="23"/>
      <c r="L778" s="23"/>
      <c r="M778" s="23"/>
      <c r="N778" s="23"/>
      <c r="O778" s="23"/>
      <c r="P778" s="23"/>
      <c r="Q778" s="23"/>
      <c r="R778" s="23"/>
      <c r="S778" s="23"/>
      <c r="T778" s="23"/>
      <c r="U778" s="23"/>
      <c r="V778" s="23"/>
      <c r="W778" s="23"/>
      <c r="X778" s="23"/>
      <c r="Y778" s="23"/>
      <c r="Z778" s="23"/>
      <c r="AA778" s="23"/>
      <c r="AB778" s="23"/>
    </row>
    <row r="779" spans="11:28" x14ac:dyDescent="0.2">
      <c r="K779" s="23"/>
      <c r="L779" s="23"/>
      <c r="M779" s="23"/>
      <c r="N779" s="23"/>
      <c r="O779" s="23"/>
      <c r="P779" s="23"/>
      <c r="Q779" s="23"/>
      <c r="R779" s="23"/>
      <c r="S779" s="23"/>
      <c r="T779" s="23"/>
      <c r="U779" s="23"/>
      <c r="V779" s="23"/>
      <c r="W779" s="23"/>
      <c r="X779" s="23"/>
      <c r="Y779" s="23"/>
      <c r="Z779" s="23"/>
      <c r="AA779" s="23"/>
      <c r="AB779" s="23"/>
    </row>
    <row r="780" spans="11:28" x14ac:dyDescent="0.2">
      <c r="K780" s="23"/>
      <c r="L780" s="23"/>
      <c r="M780" s="23"/>
      <c r="N780" s="23"/>
      <c r="O780" s="23"/>
      <c r="P780" s="23"/>
      <c r="Q780" s="23"/>
      <c r="R780" s="23"/>
      <c r="S780" s="23"/>
      <c r="T780" s="23"/>
      <c r="U780" s="23"/>
      <c r="V780" s="23"/>
      <c r="W780" s="23"/>
      <c r="X780" s="23"/>
      <c r="Y780" s="23"/>
      <c r="Z780" s="23"/>
      <c r="AA780" s="23"/>
      <c r="AB780" s="23"/>
    </row>
    <row r="781" spans="11:28" x14ac:dyDescent="0.2">
      <c r="K781" s="23"/>
      <c r="L781" s="23"/>
      <c r="M781" s="23"/>
      <c r="N781" s="23"/>
      <c r="O781" s="23"/>
      <c r="P781" s="23"/>
      <c r="Q781" s="23"/>
      <c r="R781" s="23"/>
      <c r="S781" s="23"/>
      <c r="T781" s="23"/>
      <c r="U781" s="23"/>
      <c r="V781" s="23"/>
      <c r="W781" s="23"/>
      <c r="X781" s="23"/>
      <c r="Y781" s="23"/>
      <c r="Z781" s="23"/>
      <c r="AA781" s="23"/>
      <c r="AB781" s="23"/>
    </row>
    <row r="782" spans="11:28" x14ac:dyDescent="0.2">
      <c r="K782" s="23"/>
      <c r="L782" s="23"/>
      <c r="M782" s="23"/>
      <c r="N782" s="23"/>
      <c r="O782" s="23"/>
      <c r="P782" s="23"/>
      <c r="Q782" s="23"/>
      <c r="R782" s="23"/>
      <c r="S782" s="23"/>
      <c r="T782" s="23"/>
      <c r="U782" s="23"/>
      <c r="V782" s="23"/>
      <c r="W782" s="23"/>
      <c r="X782" s="23"/>
      <c r="Y782" s="23"/>
      <c r="Z782" s="23"/>
      <c r="AA782" s="23"/>
      <c r="AB782" s="23"/>
    </row>
    <row r="783" spans="11:28" x14ac:dyDescent="0.2">
      <c r="K783" s="23"/>
      <c r="L783" s="23"/>
      <c r="M783" s="23"/>
      <c r="N783" s="23"/>
      <c r="O783" s="23"/>
      <c r="P783" s="23"/>
      <c r="Q783" s="23"/>
      <c r="R783" s="23"/>
      <c r="S783" s="23"/>
      <c r="T783" s="23"/>
      <c r="U783" s="23"/>
      <c r="V783" s="23"/>
      <c r="W783" s="23"/>
      <c r="X783" s="23"/>
      <c r="Y783" s="23"/>
      <c r="Z783" s="23"/>
      <c r="AA783" s="23"/>
      <c r="AB783" s="23"/>
    </row>
    <row r="784" spans="11:28" x14ac:dyDescent="0.2">
      <c r="K784" s="23"/>
      <c r="L784" s="23"/>
      <c r="M784" s="23"/>
      <c r="N784" s="23"/>
      <c r="O784" s="23"/>
      <c r="P784" s="23"/>
      <c r="Q784" s="23"/>
      <c r="R784" s="23"/>
      <c r="S784" s="23"/>
      <c r="T784" s="23"/>
      <c r="U784" s="23"/>
      <c r="V784" s="23"/>
      <c r="W784" s="23"/>
      <c r="X784" s="23"/>
      <c r="Y784" s="23"/>
      <c r="Z784" s="23"/>
      <c r="AA784" s="23"/>
      <c r="AB784" s="23"/>
    </row>
    <row r="785" spans="11:28" x14ac:dyDescent="0.2">
      <c r="K785" s="23"/>
      <c r="L785" s="23"/>
      <c r="M785" s="23"/>
      <c r="N785" s="23"/>
      <c r="O785" s="23"/>
      <c r="P785" s="23"/>
      <c r="Q785" s="23"/>
      <c r="R785" s="23"/>
      <c r="S785" s="23"/>
      <c r="T785" s="23"/>
      <c r="U785" s="23"/>
      <c r="V785" s="23"/>
      <c r="W785" s="23"/>
      <c r="X785" s="23"/>
      <c r="Y785" s="23"/>
      <c r="Z785" s="23"/>
      <c r="AA785" s="23"/>
      <c r="AB785" s="23"/>
    </row>
    <row r="786" spans="11:28" x14ac:dyDescent="0.2">
      <c r="K786" s="23"/>
      <c r="L786" s="23"/>
      <c r="M786" s="23"/>
      <c r="N786" s="23"/>
      <c r="O786" s="23"/>
      <c r="P786" s="23"/>
      <c r="Q786" s="23"/>
      <c r="R786" s="23"/>
      <c r="S786" s="23"/>
      <c r="T786" s="23"/>
      <c r="U786" s="23"/>
      <c r="V786" s="23"/>
      <c r="W786" s="23"/>
      <c r="X786" s="23"/>
      <c r="Y786" s="23"/>
      <c r="Z786" s="23"/>
      <c r="AA786" s="23"/>
      <c r="AB786" s="23"/>
    </row>
    <row r="787" spans="11:28" x14ac:dyDescent="0.2">
      <c r="K787" s="23"/>
      <c r="L787" s="23"/>
      <c r="M787" s="23"/>
      <c r="N787" s="23"/>
      <c r="O787" s="23"/>
      <c r="P787" s="23"/>
      <c r="Q787" s="23"/>
      <c r="R787" s="23"/>
      <c r="S787" s="23"/>
      <c r="T787" s="23"/>
      <c r="U787" s="23"/>
      <c r="V787" s="23"/>
      <c r="W787" s="23"/>
      <c r="X787" s="23"/>
      <c r="Y787" s="23"/>
      <c r="Z787" s="23"/>
      <c r="AA787" s="23"/>
      <c r="AB787" s="23"/>
    </row>
    <row r="788" spans="11:28" x14ac:dyDescent="0.2">
      <c r="K788" s="23"/>
      <c r="L788" s="23"/>
      <c r="M788" s="23"/>
      <c r="N788" s="23"/>
      <c r="O788" s="23"/>
      <c r="P788" s="23"/>
      <c r="Q788" s="23"/>
      <c r="R788" s="23"/>
      <c r="S788" s="23"/>
      <c r="T788" s="23"/>
      <c r="U788" s="23"/>
      <c r="V788" s="23"/>
      <c r="W788" s="23"/>
      <c r="X788" s="23"/>
      <c r="Y788" s="23"/>
      <c r="Z788" s="23"/>
      <c r="AA788" s="23"/>
      <c r="AB788" s="23"/>
    </row>
    <row r="789" spans="11:28" x14ac:dyDescent="0.2">
      <c r="K789" s="23"/>
      <c r="L789" s="23"/>
      <c r="M789" s="23"/>
      <c r="N789" s="23"/>
      <c r="O789" s="23"/>
      <c r="P789" s="23"/>
      <c r="Q789" s="23"/>
      <c r="R789" s="23"/>
      <c r="S789" s="23"/>
      <c r="T789" s="23"/>
      <c r="U789" s="23"/>
      <c r="V789" s="23"/>
      <c r="W789" s="23"/>
      <c r="X789" s="23"/>
      <c r="Y789" s="23"/>
      <c r="Z789" s="23"/>
      <c r="AA789" s="23"/>
      <c r="AB789" s="23"/>
    </row>
    <row r="790" spans="11:28" x14ac:dyDescent="0.2">
      <c r="K790" s="23"/>
      <c r="L790" s="23"/>
      <c r="M790" s="23"/>
      <c r="N790" s="23"/>
      <c r="O790" s="23"/>
      <c r="P790" s="23"/>
      <c r="Q790" s="23"/>
      <c r="R790" s="23"/>
      <c r="S790" s="23"/>
      <c r="T790" s="23"/>
      <c r="U790" s="23"/>
      <c r="V790" s="23"/>
      <c r="W790" s="23"/>
      <c r="X790" s="23"/>
      <c r="Y790" s="23"/>
      <c r="Z790" s="23"/>
      <c r="AA790" s="23"/>
      <c r="AB790" s="23"/>
    </row>
    <row r="791" spans="11:28" x14ac:dyDescent="0.2">
      <c r="K791" s="23"/>
      <c r="L791" s="23"/>
      <c r="M791" s="23"/>
      <c r="N791" s="23"/>
      <c r="O791" s="23"/>
      <c r="P791" s="23"/>
      <c r="Q791" s="23"/>
      <c r="R791" s="23"/>
      <c r="S791" s="23"/>
      <c r="T791" s="23"/>
      <c r="U791" s="23"/>
      <c r="V791" s="23"/>
      <c r="W791" s="23"/>
      <c r="X791" s="23"/>
      <c r="Y791" s="23"/>
      <c r="Z791" s="23"/>
      <c r="AA791" s="23"/>
      <c r="AB791" s="23"/>
    </row>
    <row r="792" spans="11:28" x14ac:dyDescent="0.2">
      <c r="K792" s="23"/>
      <c r="L792" s="23"/>
      <c r="M792" s="23"/>
      <c r="N792" s="23"/>
      <c r="O792" s="23"/>
      <c r="P792" s="23"/>
      <c r="Q792" s="23"/>
      <c r="R792" s="23"/>
      <c r="S792" s="23"/>
      <c r="T792" s="23"/>
      <c r="U792" s="23"/>
      <c r="V792" s="23"/>
      <c r="W792" s="23"/>
      <c r="X792" s="23"/>
      <c r="Y792" s="23"/>
      <c r="Z792" s="23"/>
      <c r="AA792" s="23"/>
      <c r="AB792" s="23"/>
    </row>
    <row r="793" spans="11:28" x14ac:dyDescent="0.2">
      <c r="K793" s="23"/>
      <c r="L793" s="23"/>
      <c r="M793" s="23"/>
      <c r="N793" s="23"/>
      <c r="O793" s="23"/>
      <c r="P793" s="23"/>
      <c r="Q793" s="23"/>
      <c r="R793" s="23"/>
      <c r="S793" s="23"/>
      <c r="T793" s="23"/>
      <c r="U793" s="23"/>
      <c r="V793" s="23"/>
      <c r="W793" s="23"/>
      <c r="X793" s="23"/>
      <c r="Y793" s="23"/>
      <c r="Z793" s="23"/>
      <c r="AA793" s="23"/>
      <c r="AB793" s="23"/>
    </row>
    <row r="794" spans="11:28" x14ac:dyDescent="0.2">
      <c r="K794" s="23"/>
      <c r="L794" s="23"/>
      <c r="M794" s="23"/>
      <c r="N794" s="23"/>
      <c r="O794" s="23"/>
      <c r="P794" s="23"/>
      <c r="Q794" s="23"/>
      <c r="R794" s="23"/>
      <c r="S794" s="23"/>
      <c r="T794" s="23"/>
      <c r="U794" s="23"/>
      <c r="V794" s="23"/>
      <c r="W794" s="23"/>
      <c r="X794" s="23"/>
      <c r="Y794" s="23"/>
      <c r="Z794" s="23"/>
      <c r="AA794" s="23"/>
      <c r="AB794" s="23"/>
    </row>
    <row r="795" spans="11:28" x14ac:dyDescent="0.2">
      <c r="K795" s="23"/>
      <c r="L795" s="23"/>
      <c r="M795" s="23"/>
      <c r="N795" s="23"/>
      <c r="O795" s="23"/>
      <c r="P795" s="23"/>
      <c r="Q795" s="23"/>
      <c r="R795" s="23"/>
      <c r="S795" s="23"/>
      <c r="T795" s="23"/>
      <c r="U795" s="23"/>
      <c r="V795" s="23"/>
      <c r="W795" s="23"/>
      <c r="X795" s="23"/>
      <c r="Y795" s="23"/>
      <c r="Z795" s="23"/>
      <c r="AA795" s="23"/>
      <c r="AB795" s="23"/>
    </row>
    <row r="796" spans="11:28" x14ac:dyDescent="0.2">
      <c r="K796" s="23"/>
      <c r="L796" s="23"/>
      <c r="M796" s="23"/>
      <c r="N796" s="23"/>
      <c r="O796" s="23"/>
      <c r="P796" s="23"/>
      <c r="Q796" s="23"/>
      <c r="R796" s="23"/>
      <c r="S796" s="23"/>
      <c r="T796" s="23"/>
      <c r="U796" s="23"/>
      <c r="V796" s="23"/>
      <c r="W796" s="23"/>
      <c r="X796" s="23"/>
      <c r="Y796" s="23"/>
      <c r="Z796" s="23"/>
      <c r="AA796" s="23"/>
      <c r="AB796" s="23"/>
    </row>
    <row r="797" spans="11:28" x14ac:dyDescent="0.2">
      <c r="K797" s="23"/>
      <c r="L797" s="23"/>
      <c r="M797" s="23"/>
      <c r="N797" s="23"/>
      <c r="O797" s="23"/>
      <c r="P797" s="23"/>
      <c r="Q797" s="23"/>
      <c r="R797" s="23"/>
      <c r="S797" s="23"/>
      <c r="T797" s="23"/>
      <c r="U797" s="23"/>
      <c r="V797" s="23"/>
      <c r="W797" s="23"/>
      <c r="X797" s="23"/>
      <c r="Y797" s="23"/>
      <c r="Z797" s="23"/>
      <c r="AA797" s="23"/>
      <c r="AB797" s="23"/>
    </row>
    <row r="798" spans="11:28" x14ac:dyDescent="0.2">
      <c r="K798" s="23"/>
      <c r="L798" s="23"/>
      <c r="M798" s="23"/>
      <c r="N798" s="23"/>
      <c r="O798" s="23"/>
      <c r="P798" s="23"/>
      <c r="Q798" s="23"/>
      <c r="R798" s="23"/>
      <c r="S798" s="23"/>
      <c r="T798" s="23"/>
      <c r="U798" s="23"/>
      <c r="V798" s="23"/>
      <c r="W798" s="23"/>
      <c r="X798" s="23"/>
      <c r="Y798" s="23"/>
      <c r="Z798" s="23"/>
      <c r="AA798" s="23"/>
      <c r="AB798" s="23"/>
    </row>
    <row r="799" spans="11:28" x14ac:dyDescent="0.2">
      <c r="K799" s="23"/>
      <c r="L799" s="23"/>
      <c r="M799" s="23"/>
      <c r="N799" s="23"/>
      <c r="O799" s="23"/>
      <c r="P799" s="23"/>
      <c r="Q799" s="23"/>
      <c r="R799" s="23"/>
      <c r="S799" s="23"/>
      <c r="T799" s="23"/>
      <c r="U799" s="23"/>
      <c r="V799" s="23"/>
      <c r="W799" s="23"/>
      <c r="X799" s="23"/>
      <c r="Y799" s="23"/>
      <c r="Z799" s="23"/>
      <c r="AA799" s="23"/>
      <c r="AB799" s="23"/>
    </row>
    <row r="800" spans="11:28" x14ac:dyDescent="0.2">
      <c r="K800" s="23"/>
      <c r="L800" s="23"/>
      <c r="M800" s="23"/>
      <c r="N800" s="23"/>
      <c r="O800" s="23"/>
      <c r="P800" s="23"/>
      <c r="Q800" s="23"/>
      <c r="R800" s="23"/>
      <c r="S800" s="23"/>
      <c r="T800" s="23"/>
      <c r="U800" s="23"/>
      <c r="V800" s="23"/>
      <c r="W800" s="23"/>
      <c r="X800" s="23"/>
      <c r="Y800" s="23"/>
      <c r="Z800" s="23"/>
      <c r="AA800" s="23"/>
      <c r="AB800" s="23"/>
    </row>
    <row r="801" spans="11:28" x14ac:dyDescent="0.2">
      <c r="K801" s="23"/>
      <c r="L801" s="23"/>
      <c r="M801" s="23"/>
      <c r="N801" s="23"/>
      <c r="O801" s="23"/>
      <c r="P801" s="23"/>
      <c r="Q801" s="23"/>
      <c r="R801" s="23"/>
      <c r="S801" s="23"/>
      <c r="T801" s="23"/>
      <c r="U801" s="23"/>
      <c r="V801" s="23"/>
      <c r="W801" s="23"/>
      <c r="X801" s="23"/>
      <c r="Y801" s="23"/>
      <c r="Z801" s="23"/>
      <c r="AA801" s="23"/>
      <c r="AB801" s="23"/>
    </row>
    <row r="802" spans="11:28" x14ac:dyDescent="0.2">
      <c r="K802" s="23"/>
      <c r="L802" s="23"/>
      <c r="M802" s="23"/>
      <c r="N802" s="23"/>
      <c r="O802" s="23"/>
      <c r="P802" s="23"/>
      <c r="Q802" s="23"/>
      <c r="R802" s="23"/>
      <c r="S802" s="23"/>
      <c r="T802" s="23"/>
      <c r="U802" s="23"/>
      <c r="V802" s="23"/>
      <c r="W802" s="23"/>
      <c r="X802" s="23"/>
      <c r="Y802" s="23"/>
      <c r="Z802" s="23"/>
      <c r="AA802" s="23"/>
      <c r="AB802" s="23"/>
    </row>
    <row r="803" spans="11:28" x14ac:dyDescent="0.2">
      <c r="K803" s="23"/>
      <c r="L803" s="23"/>
      <c r="M803" s="23"/>
      <c r="N803" s="23"/>
      <c r="O803" s="23"/>
      <c r="P803" s="23"/>
      <c r="Q803" s="23"/>
      <c r="R803" s="23"/>
      <c r="S803" s="23"/>
      <c r="T803" s="23"/>
      <c r="U803" s="23"/>
      <c r="V803" s="23"/>
      <c r="W803" s="23"/>
      <c r="X803" s="23"/>
      <c r="Y803" s="23"/>
      <c r="Z803" s="23"/>
      <c r="AA803" s="23"/>
      <c r="AB803" s="23"/>
    </row>
    <row r="804" spans="11:28" x14ac:dyDescent="0.2">
      <c r="K804" s="23"/>
      <c r="L804" s="23"/>
      <c r="M804" s="23"/>
      <c r="N804" s="23"/>
      <c r="O804" s="23"/>
      <c r="P804" s="23"/>
      <c r="Q804" s="23"/>
      <c r="R804" s="23"/>
      <c r="S804" s="23"/>
      <c r="T804" s="23"/>
      <c r="U804" s="23"/>
      <c r="V804" s="23"/>
      <c r="W804" s="23"/>
      <c r="X804" s="23"/>
      <c r="Y804" s="23"/>
      <c r="Z804" s="23"/>
      <c r="AA804" s="23"/>
      <c r="AB804" s="23"/>
    </row>
    <row r="805" spans="11:28" x14ac:dyDescent="0.2">
      <c r="K805" s="23"/>
      <c r="L805" s="23"/>
      <c r="M805" s="23"/>
      <c r="N805" s="23"/>
      <c r="O805" s="23"/>
      <c r="P805" s="23"/>
      <c r="Q805" s="23"/>
      <c r="R805" s="23"/>
      <c r="S805" s="23"/>
      <c r="T805" s="23"/>
      <c r="U805" s="23"/>
      <c r="V805" s="23"/>
      <c r="W805" s="23"/>
      <c r="X805" s="23"/>
      <c r="Y805" s="23"/>
      <c r="Z805" s="23"/>
      <c r="AA805" s="23"/>
      <c r="AB805" s="23"/>
    </row>
    <row r="806" spans="11:28" x14ac:dyDescent="0.2">
      <c r="K806" s="23"/>
      <c r="L806" s="23"/>
      <c r="M806" s="23"/>
      <c r="N806" s="23"/>
      <c r="O806" s="23"/>
      <c r="P806" s="23"/>
      <c r="Q806" s="23"/>
      <c r="R806" s="23"/>
      <c r="S806" s="23"/>
      <c r="T806" s="23"/>
      <c r="U806" s="23"/>
      <c r="V806" s="23"/>
      <c r="W806" s="23"/>
      <c r="X806" s="23"/>
      <c r="Y806" s="23"/>
      <c r="Z806" s="23"/>
      <c r="AA806" s="23"/>
      <c r="AB806" s="23"/>
    </row>
    <row r="807" spans="11:28" x14ac:dyDescent="0.2">
      <c r="K807" s="23"/>
      <c r="L807" s="23"/>
      <c r="M807" s="23"/>
      <c r="N807" s="23"/>
      <c r="O807" s="23"/>
      <c r="P807" s="23"/>
      <c r="Q807" s="23"/>
      <c r="R807" s="23"/>
      <c r="S807" s="23"/>
      <c r="T807" s="23"/>
      <c r="U807" s="23"/>
      <c r="V807" s="23"/>
      <c r="W807" s="23"/>
      <c r="X807" s="23"/>
      <c r="Y807" s="23"/>
      <c r="Z807" s="23"/>
      <c r="AA807" s="23"/>
      <c r="AB807" s="23"/>
    </row>
    <row r="808" spans="11:28" x14ac:dyDescent="0.2">
      <c r="K808" s="23"/>
      <c r="L808" s="23"/>
      <c r="M808" s="23"/>
      <c r="N808" s="23"/>
      <c r="O808" s="23"/>
      <c r="P808" s="23"/>
      <c r="Q808" s="23"/>
      <c r="R808" s="23"/>
      <c r="S808" s="23"/>
      <c r="T808" s="23"/>
      <c r="U808" s="23"/>
      <c r="V808" s="23"/>
      <c r="W808" s="23"/>
      <c r="X808" s="23"/>
      <c r="Y808" s="23"/>
      <c r="Z808" s="23"/>
      <c r="AA808" s="23"/>
      <c r="AB808" s="23"/>
    </row>
    <row r="809" spans="11:28" x14ac:dyDescent="0.2">
      <c r="K809" s="23"/>
      <c r="L809" s="23"/>
      <c r="M809" s="23"/>
      <c r="N809" s="23"/>
      <c r="O809" s="23"/>
      <c r="P809" s="23"/>
      <c r="Q809" s="23"/>
      <c r="R809" s="23"/>
      <c r="S809" s="23"/>
      <c r="T809" s="23"/>
      <c r="U809" s="23"/>
      <c r="V809" s="23"/>
      <c r="W809" s="23"/>
      <c r="X809" s="23"/>
      <c r="Y809" s="23"/>
      <c r="Z809" s="23"/>
      <c r="AA809" s="23"/>
      <c r="AB809" s="23"/>
    </row>
    <row r="810" spans="11:28" x14ac:dyDescent="0.2">
      <c r="K810" s="23"/>
      <c r="L810" s="23"/>
      <c r="M810" s="23"/>
      <c r="N810" s="23"/>
      <c r="O810" s="23"/>
      <c r="P810" s="23"/>
      <c r="Q810" s="23"/>
      <c r="R810" s="23"/>
      <c r="S810" s="23"/>
      <c r="T810" s="23"/>
      <c r="U810" s="23"/>
      <c r="V810" s="23"/>
      <c r="W810" s="23"/>
      <c r="X810" s="23"/>
      <c r="Y810" s="23"/>
      <c r="Z810" s="23"/>
      <c r="AA810" s="23"/>
      <c r="AB810" s="23"/>
    </row>
    <row r="811" spans="11:28" x14ac:dyDescent="0.2">
      <c r="K811" s="23"/>
      <c r="L811" s="23"/>
      <c r="M811" s="23"/>
      <c r="N811" s="23"/>
      <c r="O811" s="23"/>
      <c r="P811" s="23"/>
      <c r="Q811" s="23"/>
      <c r="R811" s="23"/>
      <c r="S811" s="23"/>
      <c r="T811" s="23"/>
      <c r="U811" s="23"/>
      <c r="V811" s="23"/>
      <c r="W811" s="23"/>
      <c r="X811" s="23"/>
      <c r="Y811" s="23"/>
      <c r="Z811" s="23"/>
      <c r="AA811" s="23"/>
      <c r="AB811" s="23"/>
    </row>
    <row r="812" spans="11:28" x14ac:dyDescent="0.2">
      <c r="K812" s="23"/>
      <c r="L812" s="23"/>
      <c r="M812" s="23"/>
      <c r="N812" s="23"/>
      <c r="O812" s="23"/>
      <c r="P812" s="23"/>
      <c r="Q812" s="23"/>
      <c r="R812" s="23"/>
      <c r="S812" s="23"/>
      <c r="T812" s="23"/>
      <c r="U812" s="23"/>
      <c r="V812" s="23"/>
      <c r="W812" s="23"/>
      <c r="X812" s="23"/>
      <c r="Y812" s="23"/>
      <c r="Z812" s="23"/>
      <c r="AA812" s="23"/>
      <c r="AB812" s="23"/>
    </row>
    <row r="813" spans="11:28" x14ac:dyDescent="0.2">
      <c r="K813" s="23"/>
      <c r="L813" s="23"/>
      <c r="M813" s="23"/>
      <c r="N813" s="23"/>
      <c r="O813" s="23"/>
      <c r="P813" s="23"/>
      <c r="Q813" s="23"/>
      <c r="R813" s="23"/>
      <c r="S813" s="23"/>
      <c r="T813" s="23"/>
      <c r="U813" s="23"/>
      <c r="V813" s="23"/>
      <c r="W813" s="23"/>
      <c r="X813" s="23"/>
      <c r="Y813" s="23"/>
      <c r="Z813" s="23"/>
      <c r="AA813" s="23"/>
      <c r="AB813" s="23"/>
    </row>
    <row r="814" spans="11:28" x14ac:dyDescent="0.2">
      <c r="K814" s="23"/>
      <c r="L814" s="23"/>
      <c r="M814" s="23"/>
      <c r="N814" s="23"/>
      <c r="O814" s="23"/>
      <c r="P814" s="23"/>
      <c r="Q814" s="23"/>
      <c r="R814" s="23"/>
      <c r="S814" s="23"/>
      <c r="T814" s="23"/>
      <c r="U814" s="23"/>
      <c r="V814" s="23"/>
      <c r="W814" s="23"/>
      <c r="X814" s="23"/>
      <c r="Y814" s="23"/>
      <c r="Z814" s="23"/>
      <c r="AA814" s="23"/>
      <c r="AB814" s="23"/>
    </row>
    <row r="815" spans="11:28" x14ac:dyDescent="0.2">
      <c r="K815" s="23"/>
      <c r="L815" s="23"/>
      <c r="M815" s="23"/>
      <c r="N815" s="23"/>
      <c r="O815" s="23"/>
      <c r="P815" s="23"/>
      <c r="Q815" s="23"/>
      <c r="R815" s="23"/>
      <c r="S815" s="23"/>
      <c r="T815" s="23"/>
      <c r="U815" s="23"/>
      <c r="V815" s="23"/>
      <c r="W815" s="23"/>
      <c r="X815" s="23"/>
      <c r="Y815" s="23"/>
      <c r="Z815" s="23"/>
      <c r="AA815" s="23"/>
      <c r="AB815" s="23"/>
    </row>
    <row r="816" spans="11:28" x14ac:dyDescent="0.2">
      <c r="K816" s="23"/>
      <c r="L816" s="23"/>
      <c r="M816" s="23"/>
      <c r="N816" s="23"/>
      <c r="O816" s="23"/>
      <c r="P816" s="23"/>
      <c r="Q816" s="23"/>
      <c r="R816" s="23"/>
      <c r="S816" s="23"/>
      <c r="T816" s="23"/>
      <c r="U816" s="23"/>
      <c r="V816" s="23"/>
      <c r="W816" s="23"/>
      <c r="X816" s="23"/>
      <c r="Y816" s="23"/>
      <c r="Z816" s="23"/>
      <c r="AA816" s="23"/>
      <c r="AB816" s="23"/>
    </row>
    <row r="817" spans="11:28" x14ac:dyDescent="0.2">
      <c r="K817" s="23"/>
      <c r="L817" s="23"/>
      <c r="M817" s="23"/>
      <c r="N817" s="23"/>
      <c r="O817" s="23"/>
      <c r="P817" s="23"/>
      <c r="Q817" s="23"/>
      <c r="R817" s="23"/>
      <c r="S817" s="23"/>
      <c r="T817" s="23"/>
      <c r="U817" s="23"/>
      <c r="V817" s="23"/>
      <c r="W817" s="23"/>
      <c r="X817" s="23"/>
      <c r="Y817" s="23"/>
      <c r="Z817" s="23"/>
      <c r="AA817" s="23"/>
      <c r="AB817" s="23"/>
    </row>
    <row r="818" spans="11:28" x14ac:dyDescent="0.2">
      <c r="K818" s="23"/>
      <c r="L818" s="23"/>
      <c r="M818" s="23"/>
      <c r="N818" s="23"/>
      <c r="O818" s="23"/>
      <c r="P818" s="23"/>
      <c r="Q818" s="23"/>
      <c r="R818" s="23"/>
      <c r="S818" s="23"/>
      <c r="T818" s="23"/>
      <c r="U818" s="23"/>
      <c r="V818" s="23"/>
      <c r="W818" s="23"/>
      <c r="X818" s="23"/>
      <c r="Y818" s="23"/>
      <c r="Z818" s="23"/>
      <c r="AA818" s="23"/>
      <c r="AB818" s="23"/>
    </row>
    <row r="819" spans="11:28" x14ac:dyDescent="0.2">
      <c r="K819" s="23"/>
      <c r="L819" s="23"/>
      <c r="M819" s="23"/>
      <c r="N819" s="23"/>
      <c r="O819" s="23"/>
      <c r="P819" s="23"/>
      <c r="Q819" s="23"/>
      <c r="R819" s="23"/>
      <c r="S819" s="23"/>
      <c r="T819" s="23"/>
      <c r="U819" s="23"/>
      <c r="V819" s="23"/>
      <c r="W819" s="23"/>
      <c r="X819" s="23"/>
      <c r="Y819" s="23"/>
      <c r="Z819" s="23"/>
      <c r="AA819" s="23"/>
      <c r="AB819" s="23"/>
    </row>
    <row r="820" spans="11:28" x14ac:dyDescent="0.2">
      <c r="K820" s="23"/>
      <c r="L820" s="23"/>
      <c r="M820" s="23"/>
      <c r="N820" s="23"/>
      <c r="O820" s="23"/>
      <c r="P820" s="23"/>
      <c r="Q820" s="23"/>
      <c r="R820" s="23"/>
      <c r="S820" s="23"/>
      <c r="T820" s="23"/>
      <c r="U820" s="23"/>
      <c r="V820" s="23"/>
      <c r="W820" s="23"/>
      <c r="X820" s="23"/>
      <c r="Y820" s="23"/>
      <c r="Z820" s="23"/>
      <c r="AA820" s="23"/>
      <c r="AB820" s="23"/>
    </row>
    <row r="821" spans="11:28" x14ac:dyDescent="0.2">
      <c r="K821" s="23"/>
      <c r="L821" s="23"/>
      <c r="M821" s="23"/>
      <c r="N821" s="23"/>
      <c r="O821" s="23"/>
      <c r="P821" s="23"/>
      <c r="Q821" s="23"/>
      <c r="R821" s="23"/>
      <c r="S821" s="23"/>
      <c r="T821" s="23"/>
      <c r="U821" s="23"/>
      <c r="V821" s="23"/>
      <c r="W821" s="23"/>
      <c r="X821" s="23"/>
      <c r="Y821" s="23"/>
      <c r="Z821" s="23"/>
      <c r="AA821" s="23"/>
      <c r="AB821" s="23"/>
    </row>
    <row r="822" spans="11:28" x14ac:dyDescent="0.2">
      <c r="K822" s="23"/>
      <c r="L822" s="23"/>
      <c r="M822" s="23"/>
      <c r="N822" s="23"/>
      <c r="O822" s="23"/>
      <c r="P822" s="23"/>
      <c r="Q822" s="23"/>
      <c r="R822" s="23"/>
      <c r="S822" s="23"/>
      <c r="T822" s="23"/>
      <c r="U822" s="23"/>
      <c r="V822" s="23"/>
      <c r="W822" s="23"/>
      <c r="X822" s="23"/>
      <c r="Y822" s="23"/>
      <c r="Z822" s="23"/>
      <c r="AA822" s="23"/>
      <c r="AB822" s="23"/>
    </row>
    <row r="823" spans="11:28" x14ac:dyDescent="0.2">
      <c r="K823" s="23"/>
      <c r="L823" s="23"/>
      <c r="M823" s="23"/>
      <c r="N823" s="23"/>
      <c r="O823" s="23"/>
      <c r="P823" s="23"/>
      <c r="Q823" s="23"/>
      <c r="R823" s="23"/>
      <c r="S823" s="23"/>
      <c r="T823" s="23"/>
      <c r="U823" s="23"/>
      <c r="V823" s="23"/>
      <c r="W823" s="23"/>
      <c r="X823" s="23"/>
      <c r="Y823" s="23"/>
      <c r="Z823" s="23"/>
      <c r="AA823" s="23"/>
      <c r="AB823" s="23"/>
    </row>
    <row r="824" spans="11:28" x14ac:dyDescent="0.2">
      <c r="K824" s="23"/>
      <c r="L824" s="23"/>
      <c r="M824" s="23"/>
      <c r="N824" s="23"/>
      <c r="O824" s="23"/>
      <c r="P824" s="23"/>
      <c r="Q824" s="23"/>
      <c r="R824" s="23"/>
      <c r="S824" s="23"/>
      <c r="T824" s="23"/>
      <c r="U824" s="23"/>
      <c r="V824" s="23"/>
      <c r="W824" s="23"/>
      <c r="X824" s="23"/>
      <c r="Y824" s="23"/>
      <c r="Z824" s="23"/>
      <c r="AA824" s="23"/>
      <c r="AB824" s="23"/>
    </row>
    <row r="825" spans="11:28" x14ac:dyDescent="0.2">
      <c r="K825" s="23"/>
      <c r="L825" s="23"/>
      <c r="M825" s="23"/>
      <c r="N825" s="23"/>
      <c r="O825" s="23"/>
      <c r="P825" s="23"/>
      <c r="Q825" s="23"/>
      <c r="R825" s="23"/>
      <c r="S825" s="23"/>
      <c r="T825" s="23"/>
      <c r="U825" s="23"/>
      <c r="V825" s="23"/>
      <c r="W825" s="23"/>
      <c r="X825" s="23"/>
      <c r="Y825" s="23"/>
      <c r="Z825" s="23"/>
      <c r="AA825" s="23"/>
      <c r="AB825" s="23"/>
    </row>
    <row r="826" spans="11:28" x14ac:dyDescent="0.2">
      <c r="K826" s="23"/>
      <c r="L826" s="23"/>
      <c r="M826" s="23"/>
      <c r="N826" s="23"/>
      <c r="O826" s="23"/>
      <c r="P826" s="23"/>
      <c r="Q826" s="23"/>
      <c r="R826" s="23"/>
      <c r="S826" s="23"/>
      <c r="T826" s="23"/>
      <c r="U826" s="23"/>
      <c r="V826" s="23"/>
      <c r="W826" s="23"/>
      <c r="X826" s="23"/>
      <c r="Y826" s="23"/>
      <c r="Z826" s="23"/>
      <c r="AA826" s="23"/>
      <c r="AB826" s="23"/>
    </row>
    <row r="827" spans="11:28" x14ac:dyDescent="0.2">
      <c r="K827" s="23"/>
      <c r="L827" s="23"/>
      <c r="M827" s="23"/>
      <c r="N827" s="23"/>
      <c r="O827" s="23"/>
      <c r="P827" s="23"/>
      <c r="Q827" s="23"/>
      <c r="R827" s="23"/>
      <c r="S827" s="23"/>
      <c r="T827" s="23"/>
      <c r="U827" s="23"/>
      <c r="V827" s="23"/>
      <c r="W827" s="23"/>
      <c r="X827" s="23"/>
      <c r="Y827" s="23"/>
      <c r="Z827" s="23"/>
      <c r="AA827" s="23"/>
      <c r="AB827" s="23"/>
    </row>
    <row r="828" spans="11:28" x14ac:dyDescent="0.2">
      <c r="K828" s="23"/>
      <c r="L828" s="23"/>
      <c r="M828" s="23"/>
      <c r="N828" s="23"/>
      <c r="O828" s="23"/>
      <c r="P828" s="23"/>
      <c r="Q828" s="23"/>
      <c r="R828" s="23"/>
      <c r="S828" s="23"/>
      <c r="T828" s="23"/>
      <c r="U828" s="23"/>
      <c r="V828" s="23"/>
      <c r="W828" s="23"/>
      <c r="X828" s="23"/>
      <c r="Y828" s="23"/>
      <c r="Z828" s="23"/>
      <c r="AA828" s="23"/>
      <c r="AB828" s="23"/>
    </row>
    <row r="829" spans="11:28" x14ac:dyDescent="0.2">
      <c r="K829" s="23"/>
      <c r="L829" s="23"/>
      <c r="M829" s="23"/>
      <c r="N829" s="23"/>
      <c r="O829" s="23"/>
      <c r="P829" s="23"/>
      <c r="Q829" s="23"/>
      <c r="R829" s="23"/>
      <c r="S829" s="23"/>
      <c r="T829" s="23"/>
      <c r="U829" s="23"/>
      <c r="V829" s="23"/>
      <c r="W829" s="23"/>
      <c r="X829" s="23"/>
      <c r="Y829" s="23"/>
      <c r="Z829" s="23"/>
      <c r="AA829" s="23"/>
      <c r="AB829" s="23"/>
    </row>
    <row r="830" spans="11:28" x14ac:dyDescent="0.2">
      <c r="K830" s="23"/>
      <c r="L830" s="23"/>
      <c r="M830" s="23"/>
      <c r="N830" s="23"/>
      <c r="O830" s="23"/>
      <c r="P830" s="23"/>
      <c r="Q830" s="23"/>
      <c r="R830" s="23"/>
      <c r="S830" s="23"/>
      <c r="T830" s="23"/>
      <c r="U830" s="23"/>
      <c r="V830" s="23"/>
      <c r="W830" s="23"/>
      <c r="X830" s="23"/>
      <c r="Y830" s="23"/>
      <c r="Z830" s="23"/>
      <c r="AA830" s="23"/>
      <c r="AB830" s="23"/>
    </row>
    <row r="831" spans="11:28" x14ac:dyDescent="0.2">
      <c r="K831" s="23"/>
      <c r="L831" s="23"/>
      <c r="M831" s="23"/>
      <c r="N831" s="23"/>
      <c r="O831" s="23"/>
      <c r="P831" s="23"/>
      <c r="Q831" s="23"/>
      <c r="R831" s="23"/>
      <c r="S831" s="23"/>
      <c r="T831" s="23"/>
      <c r="U831" s="23"/>
      <c r="V831" s="23"/>
      <c r="W831" s="23"/>
      <c r="X831" s="23"/>
      <c r="Y831" s="23"/>
      <c r="Z831" s="23"/>
      <c r="AA831" s="23"/>
      <c r="AB831" s="23"/>
    </row>
    <row r="832" spans="11:28" x14ac:dyDescent="0.2">
      <c r="K832" s="23"/>
      <c r="L832" s="23"/>
      <c r="M832" s="23"/>
      <c r="N832" s="23"/>
      <c r="O832" s="23"/>
      <c r="P832" s="23"/>
      <c r="Q832" s="23"/>
      <c r="R832" s="23"/>
      <c r="S832" s="23"/>
      <c r="T832" s="23"/>
      <c r="U832" s="23"/>
      <c r="V832" s="23"/>
      <c r="W832" s="23"/>
      <c r="X832" s="23"/>
      <c r="Y832" s="23"/>
      <c r="Z832" s="23"/>
      <c r="AA832" s="23"/>
      <c r="AB832" s="23"/>
    </row>
    <row r="833" spans="11:28" x14ac:dyDescent="0.2">
      <c r="K833" s="23"/>
      <c r="L833" s="23"/>
      <c r="M833" s="23"/>
      <c r="N833" s="23"/>
      <c r="O833" s="23"/>
      <c r="P833" s="23"/>
      <c r="Q833" s="23"/>
      <c r="R833" s="23"/>
      <c r="S833" s="23"/>
      <c r="T833" s="23"/>
      <c r="U833" s="23"/>
      <c r="V833" s="23"/>
      <c r="W833" s="23"/>
      <c r="X833" s="23"/>
      <c r="Y833" s="23"/>
      <c r="Z833" s="23"/>
      <c r="AA833" s="23"/>
      <c r="AB833" s="23"/>
    </row>
    <row r="834" spans="11:28" x14ac:dyDescent="0.2">
      <c r="K834" s="23"/>
      <c r="L834" s="23"/>
      <c r="M834" s="23"/>
      <c r="N834" s="23"/>
      <c r="O834" s="23"/>
      <c r="P834" s="23"/>
      <c r="Q834" s="23"/>
      <c r="R834" s="23"/>
      <c r="S834" s="23"/>
      <c r="T834" s="23"/>
      <c r="U834" s="23"/>
      <c r="V834" s="23"/>
      <c r="W834" s="23"/>
      <c r="X834" s="23"/>
      <c r="Y834" s="23"/>
      <c r="Z834" s="23"/>
      <c r="AA834" s="23"/>
      <c r="AB834" s="23"/>
    </row>
    <row r="835" spans="11:28" x14ac:dyDescent="0.2">
      <c r="K835" s="23"/>
      <c r="L835" s="23"/>
      <c r="M835" s="23"/>
      <c r="N835" s="23"/>
      <c r="O835" s="23"/>
      <c r="P835" s="23"/>
      <c r="Q835" s="23"/>
      <c r="R835" s="23"/>
      <c r="S835" s="23"/>
      <c r="T835" s="23"/>
      <c r="U835" s="23"/>
      <c r="V835" s="23"/>
      <c r="W835" s="23"/>
      <c r="X835" s="23"/>
      <c r="Y835" s="23"/>
      <c r="Z835" s="23"/>
      <c r="AA835" s="23"/>
      <c r="AB835" s="23"/>
    </row>
    <row r="836" spans="11:28" x14ac:dyDescent="0.2">
      <c r="K836" s="23"/>
      <c r="L836" s="23"/>
      <c r="M836" s="23"/>
      <c r="N836" s="23"/>
      <c r="O836" s="23"/>
      <c r="P836" s="23"/>
      <c r="Q836" s="23"/>
      <c r="R836" s="23"/>
      <c r="S836" s="23"/>
      <c r="T836" s="23"/>
      <c r="U836" s="23"/>
      <c r="V836" s="23"/>
      <c r="W836" s="23"/>
      <c r="X836" s="23"/>
      <c r="Y836" s="23"/>
      <c r="Z836" s="23"/>
      <c r="AA836" s="23"/>
      <c r="AB836" s="23"/>
    </row>
    <row r="837" spans="11:28" x14ac:dyDescent="0.2">
      <c r="K837" s="23"/>
      <c r="L837" s="23"/>
      <c r="M837" s="23"/>
      <c r="N837" s="23"/>
      <c r="O837" s="23"/>
      <c r="P837" s="23"/>
      <c r="Q837" s="23"/>
      <c r="R837" s="23"/>
      <c r="S837" s="23"/>
      <c r="T837" s="23"/>
      <c r="U837" s="23"/>
      <c r="V837" s="23"/>
      <c r="W837" s="23"/>
      <c r="X837" s="23"/>
      <c r="Y837" s="23"/>
      <c r="Z837" s="23"/>
      <c r="AA837" s="23"/>
      <c r="AB837" s="23"/>
    </row>
    <row r="838" spans="11:28" x14ac:dyDescent="0.2">
      <c r="K838" s="23"/>
      <c r="L838" s="23"/>
      <c r="M838" s="23"/>
      <c r="N838" s="23"/>
      <c r="O838" s="23"/>
      <c r="P838" s="23"/>
      <c r="Q838" s="23"/>
      <c r="R838" s="23"/>
      <c r="S838" s="23"/>
      <c r="T838" s="23"/>
      <c r="U838" s="23"/>
      <c r="V838" s="23"/>
      <c r="W838" s="23"/>
      <c r="X838" s="23"/>
      <c r="Y838" s="23"/>
      <c r="Z838" s="23"/>
      <c r="AA838" s="23"/>
      <c r="AB838" s="23"/>
    </row>
    <row r="839" spans="11:28" x14ac:dyDescent="0.2">
      <c r="K839" s="23"/>
      <c r="L839" s="23"/>
      <c r="M839" s="23"/>
      <c r="N839" s="23"/>
      <c r="O839" s="23"/>
      <c r="P839" s="23"/>
      <c r="Q839" s="23"/>
      <c r="R839" s="23"/>
      <c r="S839" s="23"/>
      <c r="T839" s="23"/>
      <c r="U839" s="23"/>
      <c r="V839" s="23"/>
      <c r="W839" s="23"/>
      <c r="X839" s="23"/>
      <c r="Y839" s="23"/>
      <c r="Z839" s="23"/>
      <c r="AA839" s="23"/>
      <c r="AB839" s="23"/>
    </row>
    <row r="840" spans="11:28" x14ac:dyDescent="0.2">
      <c r="K840" s="23"/>
      <c r="L840" s="23"/>
      <c r="M840" s="23"/>
      <c r="N840" s="23"/>
      <c r="O840" s="23"/>
      <c r="P840" s="23"/>
      <c r="Q840" s="23"/>
      <c r="R840" s="23"/>
      <c r="S840" s="23"/>
      <c r="T840" s="23"/>
      <c r="U840" s="23"/>
      <c r="V840" s="23"/>
      <c r="W840" s="23"/>
      <c r="X840" s="23"/>
      <c r="Y840" s="23"/>
      <c r="Z840" s="23"/>
      <c r="AA840" s="23"/>
      <c r="AB840" s="23"/>
    </row>
    <row r="841" spans="11:28" x14ac:dyDescent="0.2">
      <c r="K841" s="23"/>
      <c r="L841" s="23"/>
      <c r="M841" s="23"/>
      <c r="N841" s="23"/>
      <c r="O841" s="23"/>
      <c r="P841" s="23"/>
      <c r="Q841" s="23"/>
      <c r="R841" s="23"/>
      <c r="S841" s="23"/>
      <c r="T841" s="23"/>
      <c r="U841" s="23"/>
      <c r="V841" s="23"/>
      <c r="W841" s="23"/>
      <c r="X841" s="23"/>
      <c r="Y841" s="23"/>
      <c r="Z841" s="23"/>
      <c r="AA841" s="23"/>
      <c r="AB841" s="23"/>
    </row>
    <row r="842" spans="11:28" x14ac:dyDescent="0.2">
      <c r="K842" s="23"/>
      <c r="L842" s="23"/>
      <c r="M842" s="23"/>
      <c r="N842" s="23"/>
      <c r="O842" s="23"/>
      <c r="P842" s="23"/>
      <c r="Q842" s="23"/>
      <c r="R842" s="23"/>
      <c r="S842" s="23"/>
      <c r="T842" s="23"/>
      <c r="U842" s="23"/>
      <c r="V842" s="23"/>
      <c r="W842" s="23"/>
      <c r="X842" s="23"/>
      <c r="Y842" s="23"/>
      <c r="Z842" s="23"/>
      <c r="AA842" s="23"/>
      <c r="AB842" s="23"/>
    </row>
    <row r="843" spans="11:28" x14ac:dyDescent="0.2">
      <c r="K843" s="23"/>
      <c r="L843" s="23"/>
      <c r="M843" s="23"/>
      <c r="N843" s="23"/>
      <c r="O843" s="23"/>
      <c r="P843" s="23"/>
      <c r="Q843" s="23"/>
      <c r="R843" s="23"/>
      <c r="S843" s="23"/>
      <c r="T843" s="23"/>
      <c r="U843" s="23"/>
      <c r="V843" s="23"/>
      <c r="W843" s="23"/>
      <c r="X843" s="23"/>
      <c r="Y843" s="23"/>
      <c r="Z843" s="23"/>
      <c r="AA843" s="23"/>
      <c r="AB843" s="23"/>
    </row>
    <row r="844" spans="11:28" x14ac:dyDescent="0.2">
      <c r="K844" s="23"/>
      <c r="L844" s="23"/>
      <c r="M844" s="23"/>
      <c r="N844" s="23"/>
      <c r="O844" s="23"/>
      <c r="P844" s="23"/>
      <c r="Q844" s="23"/>
      <c r="R844" s="23"/>
      <c r="S844" s="23"/>
      <c r="T844" s="23"/>
      <c r="U844" s="23"/>
      <c r="V844" s="23"/>
      <c r="W844" s="23"/>
      <c r="X844" s="23"/>
      <c r="Y844" s="23"/>
      <c r="Z844" s="23"/>
      <c r="AA844" s="23"/>
      <c r="AB844" s="23"/>
    </row>
    <row r="845" spans="11:28" x14ac:dyDescent="0.2">
      <c r="K845" s="23"/>
      <c r="L845" s="23"/>
      <c r="M845" s="23"/>
      <c r="N845" s="23"/>
      <c r="O845" s="23"/>
      <c r="P845" s="23"/>
      <c r="Q845" s="23"/>
      <c r="R845" s="23"/>
      <c r="S845" s="23"/>
      <c r="T845" s="23"/>
      <c r="U845" s="23"/>
      <c r="V845" s="23"/>
      <c r="W845" s="23"/>
      <c r="X845" s="23"/>
      <c r="Y845" s="23"/>
      <c r="Z845" s="23"/>
      <c r="AA845" s="23"/>
      <c r="AB845" s="23"/>
    </row>
    <row r="846" spans="11:28" x14ac:dyDescent="0.2">
      <c r="K846" s="23"/>
      <c r="L846" s="23"/>
      <c r="M846" s="23"/>
      <c r="N846" s="23"/>
      <c r="O846" s="23"/>
      <c r="P846" s="23"/>
      <c r="Q846" s="23"/>
      <c r="R846" s="23"/>
      <c r="S846" s="23"/>
      <c r="T846" s="23"/>
      <c r="U846" s="23"/>
      <c r="V846" s="23"/>
      <c r="W846" s="23"/>
      <c r="X846" s="23"/>
      <c r="Y846" s="23"/>
      <c r="Z846" s="23"/>
      <c r="AA846" s="23"/>
      <c r="AB846" s="23"/>
    </row>
    <row r="847" spans="11:28" x14ac:dyDescent="0.2">
      <c r="K847" s="23"/>
      <c r="L847" s="23"/>
      <c r="M847" s="23"/>
      <c r="N847" s="23"/>
      <c r="O847" s="23"/>
      <c r="P847" s="23"/>
      <c r="Q847" s="23"/>
      <c r="R847" s="23"/>
      <c r="S847" s="23"/>
      <c r="T847" s="23"/>
      <c r="U847" s="23"/>
      <c r="V847" s="23"/>
      <c r="W847" s="23"/>
      <c r="X847" s="23"/>
      <c r="Y847" s="23"/>
      <c r="Z847" s="23"/>
      <c r="AA847" s="23"/>
      <c r="AB847" s="23"/>
    </row>
    <row r="848" spans="11:28" x14ac:dyDescent="0.2">
      <c r="K848" s="23"/>
      <c r="L848" s="23"/>
      <c r="M848" s="23"/>
      <c r="N848" s="23"/>
      <c r="O848" s="23"/>
      <c r="P848" s="23"/>
      <c r="Q848" s="23"/>
      <c r="R848" s="23"/>
      <c r="S848" s="23"/>
      <c r="T848" s="23"/>
      <c r="U848" s="23"/>
      <c r="V848" s="23"/>
      <c r="W848" s="23"/>
      <c r="X848" s="23"/>
      <c r="Y848" s="23"/>
      <c r="Z848" s="23"/>
      <c r="AA848" s="23"/>
      <c r="AB848" s="23"/>
    </row>
    <row r="849" spans="11:28" x14ac:dyDescent="0.2">
      <c r="K849" s="23"/>
      <c r="L849" s="23"/>
      <c r="M849" s="23"/>
      <c r="N849" s="23"/>
      <c r="O849" s="23"/>
      <c r="P849" s="23"/>
      <c r="Q849" s="23"/>
      <c r="R849" s="23"/>
      <c r="S849" s="23"/>
      <c r="T849" s="23"/>
      <c r="U849" s="23"/>
      <c r="V849" s="23"/>
      <c r="W849" s="23"/>
      <c r="X849" s="23"/>
      <c r="Y849" s="23"/>
      <c r="Z849" s="23"/>
      <c r="AA849" s="23"/>
      <c r="AB849" s="23"/>
    </row>
    <row r="850" spans="11:28" x14ac:dyDescent="0.2">
      <c r="K850" s="23"/>
      <c r="L850" s="23"/>
      <c r="M850" s="23"/>
      <c r="N850" s="23"/>
      <c r="O850" s="23"/>
      <c r="P850" s="23"/>
      <c r="Q850" s="23"/>
      <c r="R850" s="23"/>
      <c r="S850" s="23"/>
      <c r="T850" s="23"/>
      <c r="U850" s="23"/>
      <c r="V850" s="23"/>
      <c r="W850" s="23"/>
      <c r="X850" s="23"/>
      <c r="Y850" s="23"/>
      <c r="Z850" s="23"/>
      <c r="AA850" s="23"/>
      <c r="AB850" s="23"/>
    </row>
    <row r="851" spans="11:28" x14ac:dyDescent="0.2">
      <c r="K851" s="23"/>
      <c r="L851" s="23"/>
      <c r="M851" s="23"/>
      <c r="N851" s="23"/>
      <c r="O851" s="23"/>
      <c r="P851" s="23"/>
      <c r="Q851" s="23"/>
      <c r="R851" s="23"/>
      <c r="S851" s="23"/>
      <c r="T851" s="23"/>
      <c r="U851" s="23"/>
      <c r="V851" s="23"/>
      <c r="W851" s="23"/>
      <c r="X851" s="23"/>
      <c r="Y851" s="23"/>
      <c r="Z851" s="23"/>
      <c r="AA851" s="23"/>
      <c r="AB851" s="23"/>
    </row>
    <row r="852" spans="11:28" x14ac:dyDescent="0.2">
      <c r="K852" s="23"/>
      <c r="L852" s="23"/>
      <c r="M852" s="23"/>
      <c r="N852" s="23"/>
      <c r="O852" s="23"/>
      <c r="P852" s="23"/>
      <c r="Q852" s="23"/>
      <c r="R852" s="23"/>
      <c r="S852" s="23"/>
      <c r="T852" s="23"/>
      <c r="U852" s="23"/>
      <c r="V852" s="23"/>
      <c r="W852" s="23"/>
      <c r="X852" s="23"/>
      <c r="Y852" s="23"/>
      <c r="Z852" s="23"/>
      <c r="AA852" s="23"/>
      <c r="AB852" s="23"/>
    </row>
    <row r="853" spans="11:28" x14ac:dyDescent="0.2">
      <c r="K853" s="23"/>
      <c r="L853" s="23"/>
      <c r="M853" s="23"/>
      <c r="N853" s="23"/>
      <c r="O853" s="23"/>
      <c r="P853" s="23"/>
      <c r="Q853" s="23"/>
      <c r="R853" s="23"/>
      <c r="S853" s="23"/>
      <c r="T853" s="23"/>
      <c r="U853" s="23"/>
      <c r="V853" s="23"/>
      <c r="W853" s="23"/>
      <c r="X853" s="23"/>
      <c r="Y853" s="23"/>
      <c r="Z853" s="23"/>
      <c r="AA853" s="23"/>
      <c r="AB853" s="23"/>
    </row>
    <row r="854" spans="11:28" x14ac:dyDescent="0.2">
      <c r="K854" s="23"/>
      <c r="L854" s="23"/>
      <c r="M854" s="23"/>
      <c r="N854" s="23"/>
      <c r="O854" s="23"/>
      <c r="P854" s="23"/>
      <c r="Q854" s="23"/>
      <c r="R854" s="23"/>
      <c r="S854" s="23"/>
      <c r="T854" s="23"/>
      <c r="U854" s="23"/>
      <c r="V854" s="23"/>
      <c r="W854" s="23"/>
      <c r="X854" s="23"/>
      <c r="Y854" s="23"/>
      <c r="Z854" s="23"/>
      <c r="AA854" s="23"/>
      <c r="AB854" s="23"/>
    </row>
    <row r="855" spans="11:28" x14ac:dyDescent="0.2">
      <c r="K855" s="23"/>
      <c r="L855" s="23"/>
      <c r="M855" s="23"/>
      <c r="N855" s="23"/>
      <c r="O855" s="23"/>
      <c r="P855" s="23"/>
      <c r="Q855" s="23"/>
      <c r="R855" s="23"/>
      <c r="S855" s="23"/>
      <c r="T855" s="23"/>
      <c r="U855" s="23"/>
      <c r="V855" s="23"/>
      <c r="W855" s="23"/>
      <c r="X855" s="23"/>
      <c r="Y855" s="23"/>
      <c r="Z855" s="23"/>
      <c r="AA855" s="23"/>
      <c r="AB855" s="23"/>
    </row>
    <row r="856" spans="11:28" x14ac:dyDescent="0.2">
      <c r="K856" s="23"/>
      <c r="L856" s="23"/>
      <c r="M856" s="23"/>
      <c r="N856" s="23"/>
      <c r="O856" s="23"/>
      <c r="P856" s="23"/>
      <c r="Q856" s="23"/>
      <c r="R856" s="23"/>
      <c r="S856" s="23"/>
      <c r="T856" s="23"/>
      <c r="U856" s="23"/>
      <c r="V856" s="23"/>
      <c r="W856" s="23"/>
      <c r="X856" s="23"/>
      <c r="Y856" s="23"/>
      <c r="Z856" s="23"/>
      <c r="AA856" s="23"/>
      <c r="AB856" s="23"/>
    </row>
    <row r="857" spans="11:28" x14ac:dyDescent="0.2">
      <c r="K857" s="23"/>
      <c r="L857" s="23"/>
      <c r="M857" s="23"/>
      <c r="N857" s="23"/>
      <c r="O857" s="23"/>
      <c r="P857" s="23"/>
      <c r="Q857" s="23"/>
      <c r="R857" s="23"/>
      <c r="S857" s="23"/>
      <c r="T857" s="23"/>
      <c r="U857" s="23"/>
      <c r="V857" s="23"/>
      <c r="W857" s="23"/>
      <c r="X857" s="23"/>
      <c r="Y857" s="23"/>
      <c r="Z857" s="23"/>
      <c r="AA857" s="23"/>
      <c r="AB857" s="23"/>
    </row>
    <row r="858" spans="11:28" x14ac:dyDescent="0.2">
      <c r="K858" s="23"/>
      <c r="L858" s="23"/>
      <c r="M858" s="23"/>
      <c r="N858" s="23"/>
      <c r="O858" s="23"/>
      <c r="P858" s="23"/>
      <c r="Q858" s="23"/>
      <c r="R858" s="23"/>
      <c r="S858" s="23"/>
      <c r="T858" s="23"/>
      <c r="U858" s="23"/>
      <c r="V858" s="23"/>
      <c r="W858" s="23"/>
      <c r="X858" s="23"/>
      <c r="Y858" s="23"/>
      <c r="Z858" s="23"/>
      <c r="AA858" s="23"/>
      <c r="AB858" s="23"/>
    </row>
    <row r="859" spans="11:28" x14ac:dyDescent="0.2">
      <c r="K859" s="23"/>
      <c r="L859" s="23"/>
      <c r="M859" s="23"/>
      <c r="N859" s="23"/>
      <c r="O859" s="23"/>
      <c r="P859" s="23"/>
      <c r="Q859" s="23"/>
      <c r="R859" s="23"/>
      <c r="S859" s="23"/>
      <c r="T859" s="23"/>
      <c r="U859" s="23"/>
      <c r="V859" s="23"/>
      <c r="W859" s="23"/>
      <c r="X859" s="23"/>
      <c r="Y859" s="23"/>
      <c r="Z859" s="23"/>
      <c r="AA859" s="23"/>
      <c r="AB859" s="23"/>
    </row>
    <row r="860" spans="11:28" x14ac:dyDescent="0.2">
      <c r="K860" s="23"/>
      <c r="L860" s="23"/>
      <c r="M860" s="23"/>
      <c r="N860" s="23"/>
      <c r="O860" s="23"/>
      <c r="P860" s="23"/>
      <c r="Q860" s="23"/>
      <c r="R860" s="23"/>
      <c r="S860" s="23"/>
      <c r="T860" s="23"/>
      <c r="U860" s="23"/>
      <c r="V860" s="23"/>
      <c r="W860" s="23"/>
      <c r="X860" s="23"/>
      <c r="Y860" s="23"/>
      <c r="Z860" s="23"/>
      <c r="AA860" s="23"/>
      <c r="AB860" s="23"/>
    </row>
    <row r="861" spans="11:28" x14ac:dyDescent="0.2">
      <c r="K861" s="23"/>
      <c r="L861" s="23"/>
      <c r="M861" s="23"/>
      <c r="N861" s="23"/>
      <c r="O861" s="23"/>
      <c r="P861" s="23"/>
      <c r="Q861" s="23"/>
      <c r="R861" s="23"/>
      <c r="S861" s="23"/>
      <c r="T861" s="23"/>
      <c r="U861" s="23"/>
      <c r="V861" s="23"/>
      <c r="W861" s="23"/>
      <c r="X861" s="23"/>
      <c r="Y861" s="23"/>
      <c r="Z861" s="23"/>
      <c r="AA861" s="23"/>
      <c r="AB861" s="23"/>
    </row>
    <row r="862" spans="11:28" x14ac:dyDescent="0.2">
      <c r="K862" s="23"/>
      <c r="L862" s="23"/>
      <c r="M862" s="23"/>
      <c r="N862" s="23"/>
      <c r="O862" s="23"/>
      <c r="P862" s="23"/>
      <c r="Q862" s="23"/>
      <c r="R862" s="23"/>
      <c r="S862" s="23"/>
      <c r="T862" s="23"/>
      <c r="U862" s="23"/>
      <c r="V862" s="23"/>
      <c r="W862" s="23"/>
      <c r="X862" s="23"/>
      <c r="Y862" s="23"/>
      <c r="Z862" s="23"/>
      <c r="AA862" s="23"/>
      <c r="AB862" s="23"/>
    </row>
    <row r="863" spans="11:28" x14ac:dyDescent="0.2">
      <c r="K863" s="23"/>
      <c r="L863" s="23"/>
      <c r="M863" s="23"/>
      <c r="N863" s="23"/>
      <c r="O863" s="23"/>
      <c r="P863" s="23"/>
      <c r="Q863" s="23"/>
      <c r="R863" s="23"/>
      <c r="S863" s="23"/>
      <c r="T863" s="23"/>
      <c r="U863" s="23"/>
      <c r="V863" s="23"/>
      <c r="W863" s="23"/>
      <c r="X863" s="23"/>
      <c r="Y863" s="23"/>
      <c r="Z863" s="23"/>
      <c r="AA863" s="23"/>
      <c r="AB863" s="23"/>
    </row>
    <row r="864" spans="11:28" x14ac:dyDescent="0.2">
      <c r="K864" s="23"/>
      <c r="L864" s="23"/>
      <c r="M864" s="23"/>
      <c r="N864" s="23"/>
      <c r="O864" s="23"/>
      <c r="P864" s="23"/>
      <c r="Q864" s="23"/>
      <c r="R864" s="23"/>
      <c r="S864" s="23"/>
      <c r="T864" s="23"/>
      <c r="U864" s="23"/>
      <c r="V864" s="23"/>
      <c r="W864" s="23"/>
      <c r="X864" s="23"/>
      <c r="Y864" s="23"/>
      <c r="Z864" s="23"/>
      <c r="AA864" s="23"/>
      <c r="AB864" s="23"/>
    </row>
    <row r="865" spans="11:28" x14ac:dyDescent="0.2">
      <c r="K865" s="23"/>
      <c r="L865" s="23"/>
      <c r="M865" s="23"/>
      <c r="N865" s="23"/>
      <c r="O865" s="23"/>
      <c r="P865" s="23"/>
      <c r="Q865" s="23"/>
      <c r="R865" s="23"/>
      <c r="S865" s="23"/>
      <c r="T865" s="23"/>
      <c r="U865" s="23"/>
      <c r="V865" s="23"/>
      <c r="W865" s="23"/>
      <c r="X865" s="23"/>
      <c r="Y865" s="23"/>
      <c r="Z865" s="23"/>
      <c r="AA865" s="23"/>
      <c r="AB865" s="23"/>
    </row>
    <row r="866" spans="11:28" x14ac:dyDescent="0.2">
      <c r="K866" s="23"/>
      <c r="L866" s="23"/>
      <c r="M866" s="23"/>
      <c r="N866" s="23"/>
      <c r="O866" s="23"/>
      <c r="P866" s="23"/>
      <c r="Q866" s="23"/>
      <c r="R866" s="23"/>
      <c r="S866" s="23"/>
      <c r="T866" s="23"/>
      <c r="U866" s="23"/>
      <c r="V866" s="23"/>
      <c r="W866" s="23"/>
      <c r="X866" s="23"/>
      <c r="Y866" s="23"/>
      <c r="Z866" s="23"/>
      <c r="AA866" s="23"/>
      <c r="AB866" s="23"/>
    </row>
    <row r="867" spans="11:28" x14ac:dyDescent="0.2">
      <c r="K867" s="23"/>
      <c r="L867" s="23"/>
      <c r="M867" s="23"/>
      <c r="N867" s="23"/>
      <c r="O867" s="23"/>
      <c r="P867" s="23"/>
      <c r="Q867" s="23"/>
      <c r="R867" s="23"/>
      <c r="S867" s="23"/>
      <c r="T867" s="23"/>
      <c r="U867" s="23"/>
      <c r="V867" s="23"/>
      <c r="W867" s="23"/>
      <c r="X867" s="23"/>
      <c r="Y867" s="23"/>
      <c r="Z867" s="23"/>
      <c r="AA867" s="23"/>
      <c r="AB867" s="23"/>
    </row>
    <row r="868" spans="11:28" x14ac:dyDescent="0.2">
      <c r="K868" s="23"/>
      <c r="L868" s="23"/>
      <c r="M868" s="23"/>
      <c r="N868" s="23"/>
      <c r="O868" s="23"/>
      <c r="P868" s="23"/>
      <c r="Q868" s="23"/>
      <c r="R868" s="23"/>
      <c r="S868" s="23"/>
      <c r="T868" s="23"/>
      <c r="U868" s="23"/>
      <c r="V868" s="23"/>
      <c r="W868" s="23"/>
      <c r="X868" s="23"/>
      <c r="Y868" s="23"/>
      <c r="Z868" s="23"/>
      <c r="AA868" s="23"/>
      <c r="AB868" s="23"/>
    </row>
    <row r="869" spans="11:28" x14ac:dyDescent="0.2">
      <c r="K869" s="23"/>
      <c r="L869" s="23"/>
      <c r="M869" s="23"/>
      <c r="N869" s="23"/>
      <c r="O869" s="23"/>
      <c r="P869" s="23"/>
      <c r="Q869" s="23"/>
      <c r="R869" s="23"/>
      <c r="S869" s="23"/>
      <c r="T869" s="23"/>
      <c r="U869" s="23"/>
      <c r="V869" s="23"/>
      <c r="W869" s="23"/>
      <c r="X869" s="23"/>
      <c r="Y869" s="23"/>
      <c r="Z869" s="23"/>
      <c r="AA869" s="23"/>
      <c r="AB869" s="23"/>
    </row>
    <row r="870" spans="11:28" x14ac:dyDescent="0.2">
      <c r="K870" s="23"/>
      <c r="L870" s="23"/>
      <c r="M870" s="23"/>
      <c r="N870" s="23"/>
      <c r="O870" s="23"/>
      <c r="P870" s="23"/>
      <c r="Q870" s="23"/>
      <c r="R870" s="23"/>
      <c r="S870" s="23"/>
      <c r="T870" s="23"/>
      <c r="U870" s="23"/>
      <c r="V870" s="23"/>
      <c r="W870" s="23"/>
      <c r="X870" s="23"/>
      <c r="Y870" s="23"/>
      <c r="Z870" s="23"/>
      <c r="AA870" s="23"/>
      <c r="AB870" s="23"/>
    </row>
    <row r="871" spans="11:28" x14ac:dyDescent="0.2">
      <c r="K871" s="23"/>
      <c r="L871" s="23"/>
      <c r="M871" s="23"/>
      <c r="N871" s="23"/>
      <c r="O871" s="23"/>
      <c r="P871" s="23"/>
      <c r="Q871" s="23"/>
      <c r="R871" s="23"/>
      <c r="S871" s="23"/>
      <c r="T871" s="23"/>
      <c r="U871" s="23"/>
      <c r="V871" s="23"/>
      <c r="W871" s="23"/>
      <c r="X871" s="23"/>
      <c r="Y871" s="23"/>
      <c r="Z871" s="23"/>
      <c r="AA871" s="23"/>
      <c r="AB871" s="23"/>
    </row>
    <row r="872" spans="11:28" x14ac:dyDescent="0.2">
      <c r="K872" s="23"/>
      <c r="L872" s="23"/>
      <c r="M872" s="23"/>
      <c r="N872" s="23"/>
      <c r="O872" s="23"/>
      <c r="P872" s="23"/>
      <c r="Q872" s="23"/>
      <c r="R872" s="23"/>
      <c r="S872" s="23"/>
      <c r="T872" s="23"/>
      <c r="U872" s="23"/>
      <c r="V872" s="23"/>
      <c r="W872" s="23"/>
      <c r="X872" s="23"/>
      <c r="Y872" s="23"/>
      <c r="Z872" s="23"/>
      <c r="AA872" s="23"/>
      <c r="AB872" s="23"/>
    </row>
    <row r="873" spans="11:28" x14ac:dyDescent="0.2">
      <c r="K873" s="23"/>
      <c r="L873" s="23"/>
      <c r="M873" s="23"/>
      <c r="N873" s="23"/>
      <c r="O873" s="23"/>
      <c r="P873" s="23"/>
      <c r="Q873" s="23"/>
      <c r="R873" s="23"/>
      <c r="S873" s="23"/>
      <c r="T873" s="23"/>
      <c r="U873" s="23"/>
      <c r="V873" s="23"/>
      <c r="W873" s="23"/>
      <c r="X873" s="23"/>
      <c r="Y873" s="23"/>
      <c r="Z873" s="23"/>
      <c r="AA873" s="23"/>
      <c r="AB873" s="23"/>
    </row>
    <row r="874" spans="11:28" x14ac:dyDescent="0.2">
      <c r="K874" s="23"/>
      <c r="L874" s="23"/>
      <c r="M874" s="23"/>
      <c r="N874" s="23"/>
      <c r="O874" s="23"/>
      <c r="P874" s="23"/>
      <c r="Q874" s="23"/>
      <c r="R874" s="23"/>
      <c r="S874" s="23"/>
      <c r="T874" s="23"/>
      <c r="U874" s="23"/>
      <c r="V874" s="23"/>
      <c r="W874" s="23"/>
      <c r="X874" s="23"/>
      <c r="Y874" s="23"/>
      <c r="Z874" s="23"/>
      <c r="AA874" s="23"/>
      <c r="AB874" s="23"/>
    </row>
    <row r="875" spans="11:28" x14ac:dyDescent="0.2">
      <c r="K875" s="23"/>
      <c r="L875" s="23"/>
      <c r="M875" s="23"/>
      <c r="N875" s="23"/>
      <c r="O875" s="23"/>
      <c r="P875" s="23"/>
      <c r="Q875" s="23"/>
      <c r="R875" s="23"/>
      <c r="S875" s="23"/>
      <c r="T875" s="23"/>
      <c r="U875" s="23"/>
      <c r="V875" s="23"/>
      <c r="W875" s="23"/>
      <c r="X875" s="23"/>
      <c r="Y875" s="23"/>
      <c r="Z875" s="23"/>
      <c r="AA875" s="23"/>
      <c r="AB875" s="23"/>
    </row>
    <row r="876" spans="11:28" x14ac:dyDescent="0.2">
      <c r="K876" s="23"/>
      <c r="L876" s="23"/>
      <c r="M876" s="23"/>
      <c r="N876" s="23"/>
      <c r="O876" s="23"/>
      <c r="P876" s="23"/>
      <c r="Q876" s="23"/>
      <c r="R876" s="23"/>
      <c r="S876" s="23"/>
      <c r="T876" s="23"/>
      <c r="U876" s="23"/>
      <c r="V876" s="23"/>
      <c r="W876" s="23"/>
      <c r="X876" s="23"/>
      <c r="Y876" s="23"/>
      <c r="Z876" s="23"/>
      <c r="AA876" s="23"/>
      <c r="AB876" s="23"/>
    </row>
    <row r="877" spans="11:28" x14ac:dyDescent="0.2">
      <c r="K877" s="23"/>
      <c r="L877" s="23"/>
      <c r="M877" s="23"/>
      <c r="N877" s="23"/>
      <c r="O877" s="23"/>
      <c r="P877" s="23"/>
      <c r="Q877" s="23"/>
      <c r="R877" s="23"/>
      <c r="S877" s="23"/>
      <c r="T877" s="23"/>
      <c r="U877" s="23"/>
      <c r="V877" s="23"/>
      <c r="W877" s="23"/>
      <c r="X877" s="23"/>
      <c r="Y877" s="23"/>
      <c r="Z877" s="23"/>
      <c r="AA877" s="23"/>
      <c r="AB877" s="23"/>
    </row>
    <row r="878" spans="11:28" x14ac:dyDescent="0.2">
      <c r="K878" s="23"/>
      <c r="L878" s="23"/>
      <c r="M878" s="23"/>
      <c r="N878" s="23"/>
      <c r="O878" s="23"/>
      <c r="P878" s="23"/>
      <c r="Q878" s="23"/>
      <c r="R878" s="23"/>
      <c r="S878" s="23"/>
      <c r="T878" s="23"/>
      <c r="U878" s="23"/>
      <c r="V878" s="23"/>
      <c r="W878" s="23"/>
      <c r="X878" s="23"/>
      <c r="Y878" s="23"/>
      <c r="Z878" s="23"/>
      <c r="AA878" s="23"/>
      <c r="AB878" s="23"/>
    </row>
    <row r="879" spans="11:28" x14ac:dyDescent="0.2">
      <c r="K879" s="23"/>
      <c r="L879" s="23"/>
      <c r="M879" s="23"/>
      <c r="N879" s="23"/>
      <c r="O879" s="23"/>
      <c r="P879" s="23"/>
      <c r="Q879" s="23"/>
      <c r="R879" s="23"/>
      <c r="S879" s="23"/>
      <c r="T879" s="23"/>
      <c r="U879" s="23"/>
      <c r="V879" s="23"/>
      <c r="W879" s="23"/>
      <c r="X879" s="23"/>
      <c r="Y879" s="23"/>
      <c r="Z879" s="23"/>
      <c r="AA879" s="23"/>
      <c r="AB879" s="23"/>
    </row>
    <row r="880" spans="11:28" x14ac:dyDescent="0.2">
      <c r="K880" s="23"/>
      <c r="L880" s="23"/>
      <c r="M880" s="23"/>
      <c r="N880" s="23"/>
      <c r="O880" s="23"/>
      <c r="P880" s="23"/>
      <c r="Q880" s="23"/>
      <c r="R880" s="23"/>
      <c r="S880" s="23"/>
      <c r="T880" s="23"/>
      <c r="U880" s="23"/>
      <c r="V880" s="23"/>
      <c r="W880" s="23"/>
      <c r="X880" s="23"/>
      <c r="Y880" s="23"/>
      <c r="Z880" s="23"/>
      <c r="AA880" s="23"/>
      <c r="AB880" s="23"/>
    </row>
    <row r="881" spans="11:28" x14ac:dyDescent="0.2">
      <c r="K881" s="23"/>
      <c r="L881" s="23"/>
      <c r="M881" s="23"/>
      <c r="N881" s="23"/>
      <c r="O881" s="23"/>
      <c r="P881" s="23"/>
      <c r="Q881" s="23"/>
      <c r="R881" s="23"/>
      <c r="S881" s="23"/>
      <c r="T881" s="23"/>
      <c r="U881" s="23"/>
      <c r="V881" s="23"/>
      <c r="W881" s="23"/>
      <c r="X881" s="23"/>
      <c r="Y881" s="23"/>
      <c r="Z881" s="23"/>
      <c r="AA881" s="23"/>
      <c r="AB881" s="23"/>
    </row>
    <row r="882" spans="11:28" x14ac:dyDescent="0.2">
      <c r="K882" s="23"/>
      <c r="L882" s="23"/>
      <c r="M882" s="23"/>
      <c r="N882" s="23"/>
      <c r="O882" s="23"/>
      <c r="P882" s="23"/>
      <c r="Q882" s="23"/>
      <c r="R882" s="23"/>
      <c r="S882" s="23"/>
      <c r="T882" s="23"/>
      <c r="U882" s="23"/>
      <c r="V882" s="23"/>
      <c r="W882" s="23"/>
      <c r="X882" s="23"/>
      <c r="Y882" s="23"/>
      <c r="Z882" s="23"/>
      <c r="AA882" s="23"/>
      <c r="AB882" s="23"/>
    </row>
    <row r="883" spans="11:28" x14ac:dyDescent="0.2">
      <c r="K883" s="23"/>
      <c r="L883" s="23"/>
      <c r="M883" s="23"/>
      <c r="N883" s="23"/>
      <c r="O883" s="23"/>
      <c r="P883" s="23"/>
      <c r="Q883" s="23"/>
      <c r="R883" s="23"/>
      <c r="S883" s="23"/>
      <c r="T883" s="23"/>
      <c r="U883" s="23"/>
      <c r="V883" s="23"/>
      <c r="W883" s="23"/>
      <c r="X883" s="23"/>
      <c r="Y883" s="23"/>
      <c r="Z883" s="23"/>
      <c r="AA883" s="23"/>
      <c r="AB883" s="23"/>
    </row>
    <row r="884" spans="11:28" x14ac:dyDescent="0.2">
      <c r="K884" s="23"/>
      <c r="L884" s="23"/>
      <c r="M884" s="23"/>
      <c r="N884" s="23"/>
      <c r="O884" s="23"/>
      <c r="P884" s="23"/>
      <c r="Q884" s="23"/>
      <c r="R884" s="23"/>
      <c r="S884" s="23"/>
      <c r="T884" s="23"/>
      <c r="U884" s="23"/>
      <c r="V884" s="23"/>
      <c r="W884" s="23"/>
      <c r="X884" s="23"/>
      <c r="Y884" s="23"/>
      <c r="Z884" s="23"/>
      <c r="AA884" s="23"/>
      <c r="AB884" s="23"/>
    </row>
    <row r="885" spans="11:28" x14ac:dyDescent="0.2">
      <c r="K885" s="23"/>
      <c r="L885" s="23"/>
      <c r="M885" s="23"/>
      <c r="N885" s="23"/>
      <c r="O885" s="23"/>
      <c r="P885" s="23"/>
      <c r="Q885" s="23"/>
      <c r="R885" s="23"/>
      <c r="S885" s="23"/>
      <c r="T885" s="23"/>
      <c r="U885" s="23"/>
      <c r="V885" s="23"/>
      <c r="W885" s="23"/>
      <c r="X885" s="23"/>
      <c r="Y885" s="23"/>
      <c r="Z885" s="23"/>
      <c r="AA885" s="23"/>
      <c r="AB885" s="23"/>
    </row>
    <row r="886" spans="11:28" x14ac:dyDescent="0.2">
      <c r="K886" s="23"/>
      <c r="L886" s="23"/>
      <c r="M886" s="23"/>
      <c r="N886" s="23"/>
      <c r="O886" s="23"/>
      <c r="P886" s="23"/>
      <c r="Q886" s="23"/>
      <c r="R886" s="23"/>
      <c r="S886" s="23"/>
      <c r="T886" s="23"/>
      <c r="U886" s="23"/>
      <c r="V886" s="23"/>
      <c r="W886" s="23"/>
      <c r="X886" s="23"/>
      <c r="Y886" s="23"/>
      <c r="Z886" s="23"/>
      <c r="AA886" s="23"/>
      <c r="AB886" s="23"/>
    </row>
    <row r="887" spans="11:28" x14ac:dyDescent="0.2">
      <c r="K887" s="23"/>
      <c r="L887" s="23"/>
      <c r="M887" s="23"/>
      <c r="N887" s="23"/>
      <c r="O887" s="23"/>
      <c r="P887" s="23"/>
      <c r="Q887" s="23"/>
      <c r="R887" s="23"/>
      <c r="S887" s="23"/>
      <c r="T887" s="23"/>
      <c r="U887" s="23"/>
      <c r="V887" s="23"/>
      <c r="W887" s="23"/>
      <c r="X887" s="23"/>
      <c r="Y887" s="23"/>
      <c r="Z887" s="23"/>
      <c r="AA887" s="23"/>
      <c r="AB887" s="23"/>
    </row>
    <row r="888" spans="11:28" x14ac:dyDescent="0.2">
      <c r="K888" s="23"/>
      <c r="L888" s="23"/>
      <c r="M888" s="23"/>
      <c r="N888" s="23"/>
      <c r="O888" s="23"/>
      <c r="P888" s="23"/>
      <c r="Q888" s="23"/>
      <c r="R888" s="23"/>
      <c r="S888" s="23"/>
      <c r="T888" s="23"/>
      <c r="U888" s="23"/>
      <c r="V888" s="23"/>
      <c r="W888" s="23"/>
      <c r="X888" s="23"/>
      <c r="Y888" s="23"/>
      <c r="Z888" s="23"/>
      <c r="AA888" s="23"/>
      <c r="AB888" s="23"/>
    </row>
    <row r="889" spans="11:28" x14ac:dyDescent="0.2">
      <c r="K889" s="23"/>
      <c r="L889" s="23"/>
      <c r="M889" s="23"/>
      <c r="N889" s="23"/>
      <c r="O889" s="23"/>
      <c r="P889" s="23"/>
      <c r="Q889" s="23"/>
      <c r="R889" s="23"/>
      <c r="S889" s="23"/>
      <c r="T889" s="23"/>
      <c r="U889" s="23"/>
      <c r="V889" s="23"/>
      <c r="W889" s="23"/>
      <c r="X889" s="23"/>
      <c r="Y889" s="23"/>
      <c r="Z889" s="23"/>
      <c r="AA889" s="23"/>
      <c r="AB889" s="23"/>
    </row>
    <row r="890" spans="11:28" x14ac:dyDescent="0.2">
      <c r="K890" s="23"/>
      <c r="L890" s="23"/>
      <c r="M890" s="23"/>
      <c r="N890" s="23"/>
      <c r="O890" s="23"/>
      <c r="P890" s="23"/>
      <c r="Q890" s="23"/>
      <c r="R890" s="23"/>
      <c r="S890" s="23"/>
      <c r="T890" s="23"/>
      <c r="U890" s="23"/>
      <c r="V890" s="23"/>
      <c r="W890" s="23"/>
      <c r="X890" s="23"/>
      <c r="Y890" s="23"/>
      <c r="Z890" s="23"/>
      <c r="AA890" s="23"/>
      <c r="AB890" s="23"/>
    </row>
    <row r="891" spans="11:28" x14ac:dyDescent="0.2">
      <c r="K891" s="23"/>
      <c r="L891" s="23"/>
      <c r="M891" s="23"/>
      <c r="N891" s="23"/>
      <c r="O891" s="23"/>
      <c r="P891" s="23"/>
      <c r="Q891" s="23"/>
      <c r="R891" s="23"/>
      <c r="S891" s="23"/>
      <c r="T891" s="23"/>
      <c r="U891" s="23"/>
      <c r="V891" s="23"/>
      <c r="W891" s="23"/>
      <c r="X891" s="23"/>
      <c r="Y891" s="23"/>
      <c r="Z891" s="23"/>
      <c r="AA891" s="23"/>
      <c r="AB891" s="23"/>
    </row>
    <row r="892" spans="11:28" x14ac:dyDescent="0.2">
      <c r="K892" s="23"/>
      <c r="L892" s="23"/>
      <c r="M892" s="23"/>
      <c r="N892" s="23"/>
      <c r="O892" s="23"/>
      <c r="P892" s="23"/>
      <c r="Q892" s="23"/>
      <c r="R892" s="23"/>
      <c r="S892" s="23"/>
      <c r="T892" s="23"/>
      <c r="U892" s="23"/>
      <c r="V892" s="23"/>
      <c r="W892" s="23"/>
      <c r="X892" s="23"/>
      <c r="Y892" s="23"/>
      <c r="Z892" s="23"/>
      <c r="AA892" s="23"/>
      <c r="AB892" s="23"/>
    </row>
    <row r="893" spans="11:28" x14ac:dyDescent="0.2">
      <c r="K893" s="23"/>
      <c r="L893" s="23"/>
      <c r="M893" s="23"/>
      <c r="N893" s="23"/>
      <c r="O893" s="23"/>
      <c r="P893" s="23"/>
      <c r="Q893" s="23"/>
      <c r="R893" s="23"/>
      <c r="S893" s="23"/>
      <c r="T893" s="23"/>
      <c r="U893" s="23"/>
      <c r="V893" s="23"/>
      <c r="W893" s="23"/>
      <c r="X893" s="23"/>
      <c r="Y893" s="23"/>
      <c r="Z893" s="23"/>
      <c r="AA893" s="23"/>
      <c r="AB893" s="23"/>
    </row>
    <row r="894" spans="11:28" x14ac:dyDescent="0.2">
      <c r="K894" s="23"/>
      <c r="L894" s="23"/>
      <c r="M894" s="23"/>
      <c r="N894" s="23"/>
      <c r="O894" s="23"/>
      <c r="P894" s="23"/>
      <c r="Q894" s="23"/>
      <c r="R894" s="23"/>
      <c r="S894" s="23"/>
      <c r="T894" s="23"/>
      <c r="U894" s="23"/>
      <c r="V894" s="23"/>
      <c r="W894" s="23"/>
      <c r="X894" s="23"/>
      <c r="Y894" s="23"/>
      <c r="Z894" s="23"/>
      <c r="AA894" s="23"/>
      <c r="AB894" s="23"/>
    </row>
    <row r="895" spans="11:28" x14ac:dyDescent="0.2">
      <c r="K895" s="23"/>
      <c r="L895" s="23"/>
      <c r="M895" s="23"/>
      <c r="N895" s="23"/>
      <c r="O895" s="23"/>
      <c r="P895" s="23"/>
      <c r="Q895" s="23"/>
      <c r="R895" s="23"/>
      <c r="S895" s="23"/>
      <c r="T895" s="23"/>
      <c r="U895" s="23"/>
      <c r="V895" s="23"/>
      <c r="W895" s="23"/>
      <c r="X895" s="23"/>
      <c r="Y895" s="23"/>
      <c r="Z895" s="23"/>
      <c r="AA895" s="23"/>
      <c r="AB895" s="23"/>
    </row>
    <row r="896" spans="11:28" x14ac:dyDescent="0.2">
      <c r="K896" s="23"/>
      <c r="L896" s="23"/>
      <c r="M896" s="23"/>
      <c r="N896" s="23"/>
      <c r="O896" s="23"/>
      <c r="P896" s="23"/>
      <c r="Q896" s="23"/>
      <c r="R896" s="23"/>
      <c r="S896" s="23"/>
      <c r="T896" s="23"/>
      <c r="U896" s="23"/>
      <c r="V896" s="23"/>
      <c r="W896" s="23"/>
      <c r="X896" s="23"/>
      <c r="Y896" s="23"/>
      <c r="Z896" s="23"/>
      <c r="AA896" s="23"/>
      <c r="AB896" s="23"/>
    </row>
    <row r="897" spans="11:28" x14ac:dyDescent="0.2">
      <c r="K897" s="23"/>
      <c r="L897" s="23"/>
      <c r="M897" s="23"/>
      <c r="N897" s="23"/>
      <c r="O897" s="23"/>
      <c r="P897" s="23"/>
      <c r="Q897" s="23"/>
      <c r="R897" s="23"/>
      <c r="S897" s="23"/>
      <c r="T897" s="23"/>
      <c r="U897" s="23"/>
      <c r="V897" s="23"/>
      <c r="W897" s="23"/>
      <c r="X897" s="23"/>
      <c r="Y897" s="23"/>
      <c r="Z897" s="23"/>
      <c r="AA897" s="23"/>
      <c r="AB897" s="23"/>
    </row>
    <row r="898" spans="11:28" x14ac:dyDescent="0.2">
      <c r="K898" s="23"/>
      <c r="L898" s="23"/>
      <c r="M898" s="23"/>
      <c r="N898" s="23"/>
      <c r="O898" s="23"/>
      <c r="P898" s="23"/>
      <c r="Q898" s="23"/>
      <c r="R898" s="23"/>
      <c r="S898" s="23"/>
      <c r="T898" s="23"/>
      <c r="U898" s="23"/>
      <c r="V898" s="23"/>
      <c r="W898" s="23"/>
      <c r="X898" s="23"/>
      <c r="Y898" s="23"/>
      <c r="Z898" s="23"/>
      <c r="AA898" s="23"/>
      <c r="AB898" s="23"/>
    </row>
    <row r="899" spans="11:28" x14ac:dyDescent="0.2">
      <c r="K899" s="23"/>
      <c r="L899" s="23"/>
      <c r="M899" s="23"/>
      <c r="N899" s="23"/>
      <c r="O899" s="23"/>
      <c r="P899" s="23"/>
      <c r="Q899" s="23"/>
      <c r="R899" s="23"/>
      <c r="S899" s="23"/>
      <c r="T899" s="23"/>
      <c r="U899" s="23"/>
      <c r="V899" s="23"/>
      <c r="W899" s="23"/>
      <c r="X899" s="23"/>
      <c r="Y899" s="23"/>
      <c r="Z899" s="23"/>
      <c r="AA899" s="23"/>
      <c r="AB899" s="23"/>
    </row>
    <row r="900" spans="11:28" x14ac:dyDescent="0.2">
      <c r="K900" s="23"/>
      <c r="L900" s="23"/>
      <c r="M900" s="23"/>
      <c r="N900" s="23"/>
      <c r="O900" s="23"/>
      <c r="P900" s="23"/>
      <c r="Q900" s="23"/>
      <c r="R900" s="23"/>
      <c r="S900" s="23"/>
      <c r="T900" s="23"/>
      <c r="U900" s="23"/>
      <c r="V900" s="23"/>
      <c r="W900" s="23"/>
      <c r="X900" s="23"/>
      <c r="Y900" s="23"/>
      <c r="Z900" s="23"/>
      <c r="AA900" s="23"/>
      <c r="AB900" s="23"/>
    </row>
    <row r="901" spans="11:28" x14ac:dyDescent="0.2">
      <c r="K901" s="23"/>
      <c r="L901" s="23"/>
      <c r="M901" s="23"/>
      <c r="N901" s="23"/>
      <c r="O901" s="23"/>
      <c r="P901" s="23"/>
      <c r="Q901" s="23"/>
      <c r="R901" s="23"/>
      <c r="S901" s="23"/>
      <c r="T901" s="23"/>
      <c r="U901" s="23"/>
      <c r="V901" s="23"/>
      <c r="W901" s="23"/>
      <c r="X901" s="23"/>
      <c r="Y901" s="23"/>
      <c r="Z901" s="23"/>
      <c r="AA901" s="23"/>
      <c r="AB901" s="23"/>
    </row>
    <row r="902" spans="11:28" x14ac:dyDescent="0.2">
      <c r="K902" s="23"/>
      <c r="L902" s="23"/>
      <c r="M902" s="23"/>
      <c r="N902" s="23"/>
      <c r="O902" s="23"/>
      <c r="P902" s="23"/>
      <c r="Q902" s="23"/>
      <c r="R902" s="23"/>
      <c r="S902" s="23"/>
      <c r="T902" s="23"/>
      <c r="U902" s="23"/>
      <c r="V902" s="23"/>
      <c r="W902" s="23"/>
      <c r="X902" s="23"/>
      <c r="Y902" s="23"/>
      <c r="Z902" s="23"/>
      <c r="AA902" s="23"/>
      <c r="AB902" s="23"/>
    </row>
    <row r="903" spans="11:28" x14ac:dyDescent="0.2">
      <c r="K903" s="23"/>
      <c r="L903" s="23"/>
      <c r="M903" s="23"/>
      <c r="N903" s="23"/>
      <c r="O903" s="23"/>
      <c r="P903" s="23"/>
      <c r="Q903" s="23"/>
      <c r="R903" s="23"/>
      <c r="S903" s="23"/>
      <c r="T903" s="23"/>
      <c r="U903" s="23"/>
      <c r="V903" s="23"/>
      <c r="W903" s="23"/>
      <c r="X903" s="23"/>
      <c r="Y903" s="23"/>
      <c r="Z903" s="23"/>
      <c r="AA903" s="23"/>
      <c r="AB903" s="23"/>
    </row>
    <row r="904" spans="11:28" x14ac:dyDescent="0.2">
      <c r="K904" s="23"/>
      <c r="L904" s="23"/>
      <c r="M904" s="23"/>
      <c r="N904" s="23"/>
      <c r="O904" s="23"/>
      <c r="P904" s="23"/>
      <c r="Q904" s="23"/>
      <c r="R904" s="23"/>
      <c r="S904" s="23"/>
      <c r="T904" s="23"/>
      <c r="U904" s="23"/>
      <c r="V904" s="23"/>
      <c r="W904" s="23"/>
      <c r="X904" s="23"/>
      <c r="Y904" s="23"/>
      <c r="Z904" s="23"/>
      <c r="AA904" s="23"/>
      <c r="AB904" s="23"/>
    </row>
    <row r="905" spans="11:28" x14ac:dyDescent="0.2">
      <c r="K905" s="23"/>
      <c r="L905" s="23"/>
      <c r="M905" s="23"/>
      <c r="N905" s="23"/>
      <c r="O905" s="23"/>
      <c r="P905" s="23"/>
      <c r="Q905" s="23"/>
      <c r="R905" s="23"/>
      <c r="S905" s="23"/>
      <c r="T905" s="23"/>
      <c r="U905" s="23"/>
      <c r="V905" s="23"/>
      <c r="W905" s="23"/>
      <c r="X905" s="23"/>
      <c r="Y905" s="23"/>
      <c r="Z905" s="23"/>
      <c r="AA905" s="23"/>
      <c r="AB905" s="23"/>
    </row>
    <row r="906" spans="11:28" x14ac:dyDescent="0.2">
      <c r="K906" s="23"/>
      <c r="L906" s="23"/>
      <c r="M906" s="23"/>
      <c r="N906" s="23"/>
      <c r="O906" s="23"/>
      <c r="P906" s="23"/>
      <c r="Q906" s="23"/>
      <c r="R906" s="23"/>
      <c r="S906" s="23"/>
      <c r="T906" s="23"/>
      <c r="U906" s="23"/>
      <c r="V906" s="23"/>
      <c r="W906" s="23"/>
      <c r="X906" s="23"/>
      <c r="Y906" s="23"/>
      <c r="Z906" s="23"/>
      <c r="AA906" s="23"/>
      <c r="AB906" s="23"/>
    </row>
    <row r="907" spans="11:28" x14ac:dyDescent="0.2">
      <c r="K907" s="23"/>
      <c r="L907" s="23"/>
      <c r="M907" s="23"/>
      <c r="N907" s="23"/>
      <c r="O907" s="23"/>
      <c r="P907" s="23"/>
      <c r="Q907" s="23"/>
      <c r="R907" s="23"/>
      <c r="S907" s="23"/>
      <c r="T907" s="23"/>
      <c r="U907" s="23"/>
      <c r="V907" s="23"/>
      <c r="W907" s="23"/>
      <c r="X907" s="23"/>
      <c r="Y907" s="23"/>
      <c r="Z907" s="23"/>
      <c r="AA907" s="23"/>
      <c r="AB907" s="23"/>
    </row>
    <row r="908" spans="11:28" x14ac:dyDescent="0.2">
      <c r="K908" s="23"/>
      <c r="L908" s="23"/>
      <c r="M908" s="23"/>
      <c r="N908" s="23"/>
      <c r="O908" s="23"/>
      <c r="P908" s="23"/>
      <c r="Q908" s="23"/>
      <c r="R908" s="23"/>
      <c r="S908" s="23"/>
      <c r="T908" s="23"/>
      <c r="U908" s="23"/>
      <c r="V908" s="23"/>
      <c r="W908" s="23"/>
      <c r="X908" s="23"/>
      <c r="Y908" s="23"/>
      <c r="Z908" s="23"/>
      <c r="AA908" s="23"/>
      <c r="AB908" s="23"/>
    </row>
    <row r="909" spans="11:28" x14ac:dyDescent="0.2">
      <c r="K909" s="23"/>
      <c r="L909" s="23"/>
      <c r="M909" s="23"/>
      <c r="N909" s="23"/>
      <c r="O909" s="23"/>
      <c r="P909" s="23"/>
      <c r="Q909" s="23"/>
      <c r="R909" s="23"/>
      <c r="S909" s="23"/>
      <c r="T909" s="23"/>
      <c r="U909" s="23"/>
      <c r="V909" s="23"/>
      <c r="W909" s="23"/>
      <c r="X909" s="23"/>
      <c r="Y909" s="23"/>
      <c r="Z909" s="23"/>
      <c r="AA909" s="23"/>
      <c r="AB909" s="23"/>
    </row>
    <row r="910" spans="11:28" x14ac:dyDescent="0.2">
      <c r="K910" s="23"/>
      <c r="L910" s="23"/>
      <c r="M910" s="23"/>
      <c r="N910" s="23"/>
      <c r="O910" s="23"/>
      <c r="P910" s="23"/>
      <c r="Q910" s="23"/>
      <c r="R910" s="23"/>
      <c r="S910" s="23"/>
      <c r="T910" s="23"/>
      <c r="U910" s="23"/>
      <c r="V910" s="23"/>
      <c r="W910" s="23"/>
      <c r="X910" s="23"/>
      <c r="Y910" s="23"/>
      <c r="Z910" s="23"/>
      <c r="AA910" s="23"/>
      <c r="AB910" s="23"/>
    </row>
    <row r="911" spans="11:28" x14ac:dyDescent="0.2">
      <c r="K911" s="23"/>
      <c r="L911" s="23"/>
      <c r="M911" s="23"/>
      <c r="N911" s="23"/>
      <c r="O911" s="23"/>
      <c r="P911" s="23"/>
      <c r="Q911" s="23"/>
      <c r="R911" s="23"/>
      <c r="S911" s="23"/>
      <c r="T911" s="23"/>
      <c r="U911" s="23"/>
      <c r="V911" s="23"/>
      <c r="W911" s="23"/>
      <c r="X911" s="23"/>
      <c r="Y911" s="23"/>
      <c r="Z911" s="23"/>
      <c r="AA911" s="23"/>
      <c r="AB911" s="23"/>
    </row>
    <row r="912" spans="11:28" x14ac:dyDescent="0.2">
      <c r="K912" s="23"/>
      <c r="L912" s="23"/>
      <c r="M912" s="23"/>
      <c r="N912" s="23"/>
      <c r="O912" s="23"/>
      <c r="P912" s="23"/>
      <c r="Q912" s="23"/>
      <c r="R912" s="23"/>
      <c r="S912" s="23"/>
      <c r="T912" s="23"/>
      <c r="U912" s="23"/>
      <c r="V912" s="23"/>
      <c r="W912" s="23"/>
      <c r="X912" s="23"/>
      <c r="Y912" s="23"/>
      <c r="Z912" s="23"/>
      <c r="AA912" s="23"/>
      <c r="AB912" s="23"/>
    </row>
    <row r="913" spans="11:28" x14ac:dyDescent="0.2">
      <c r="K913" s="23"/>
      <c r="L913" s="23"/>
      <c r="M913" s="23"/>
      <c r="N913" s="23"/>
      <c r="O913" s="23"/>
      <c r="P913" s="23"/>
      <c r="Q913" s="23"/>
      <c r="R913" s="23"/>
      <c r="S913" s="23"/>
      <c r="T913" s="23"/>
      <c r="U913" s="23"/>
      <c r="V913" s="23"/>
      <c r="W913" s="23"/>
      <c r="X913" s="23"/>
      <c r="Y913" s="23"/>
      <c r="Z913" s="23"/>
      <c r="AA913" s="23"/>
      <c r="AB913" s="23"/>
    </row>
    <row r="914" spans="11:28" x14ac:dyDescent="0.2">
      <c r="K914" s="23"/>
      <c r="L914" s="23"/>
      <c r="M914" s="23"/>
      <c r="N914" s="23"/>
      <c r="O914" s="23"/>
      <c r="P914" s="23"/>
      <c r="Q914" s="23"/>
      <c r="R914" s="23"/>
      <c r="S914" s="23"/>
      <c r="T914" s="23"/>
      <c r="U914" s="23"/>
      <c r="V914" s="23"/>
      <c r="W914" s="23"/>
      <c r="X914" s="23"/>
      <c r="Y914" s="23"/>
      <c r="Z914" s="23"/>
      <c r="AA914" s="23"/>
      <c r="AB914" s="23"/>
    </row>
    <row r="915" spans="11:28" x14ac:dyDescent="0.2">
      <c r="K915" s="23"/>
      <c r="L915" s="23"/>
      <c r="M915" s="23"/>
      <c r="N915" s="23"/>
      <c r="O915" s="23"/>
      <c r="P915" s="23"/>
      <c r="Q915" s="23"/>
      <c r="R915" s="23"/>
      <c r="S915" s="23"/>
      <c r="T915" s="23"/>
      <c r="U915" s="23"/>
      <c r="V915" s="23"/>
      <c r="W915" s="23"/>
      <c r="X915" s="23"/>
      <c r="Y915" s="23"/>
      <c r="Z915" s="23"/>
      <c r="AA915" s="23"/>
      <c r="AB915" s="23"/>
    </row>
    <row r="916" spans="11:28" x14ac:dyDescent="0.2">
      <c r="K916" s="23"/>
      <c r="L916" s="23"/>
      <c r="M916" s="23"/>
      <c r="N916" s="23"/>
      <c r="O916" s="23"/>
      <c r="P916" s="23"/>
      <c r="Q916" s="23"/>
      <c r="R916" s="23"/>
      <c r="S916" s="23"/>
      <c r="T916" s="23"/>
      <c r="U916" s="23"/>
      <c r="V916" s="23"/>
      <c r="W916" s="23"/>
      <c r="X916" s="23"/>
      <c r="Y916" s="23"/>
      <c r="Z916" s="23"/>
      <c r="AA916" s="23"/>
      <c r="AB916" s="23"/>
    </row>
    <row r="917" spans="11:28" x14ac:dyDescent="0.2">
      <c r="K917" s="23"/>
      <c r="L917" s="23"/>
      <c r="M917" s="23"/>
      <c r="N917" s="23"/>
      <c r="O917" s="23"/>
      <c r="P917" s="23"/>
      <c r="Q917" s="23"/>
      <c r="R917" s="23"/>
      <c r="S917" s="23"/>
      <c r="T917" s="23"/>
      <c r="U917" s="23"/>
      <c r="V917" s="23"/>
      <c r="W917" s="23"/>
      <c r="X917" s="23"/>
      <c r="Y917" s="23"/>
      <c r="Z917" s="23"/>
      <c r="AA917" s="23"/>
      <c r="AB917" s="23"/>
    </row>
    <row r="918" spans="11:28" x14ac:dyDescent="0.2">
      <c r="K918" s="23"/>
      <c r="L918" s="23"/>
      <c r="M918" s="23"/>
      <c r="N918" s="23"/>
      <c r="O918" s="23"/>
      <c r="P918" s="23"/>
      <c r="Q918" s="23"/>
      <c r="R918" s="23"/>
      <c r="S918" s="23"/>
      <c r="T918" s="23"/>
      <c r="U918" s="23"/>
      <c r="V918" s="23"/>
      <c r="W918" s="23"/>
      <c r="X918" s="23"/>
      <c r="Y918" s="23"/>
      <c r="Z918" s="23"/>
      <c r="AA918" s="23"/>
      <c r="AB918" s="23"/>
    </row>
    <row r="919" spans="11:28" x14ac:dyDescent="0.2">
      <c r="K919" s="23"/>
      <c r="L919" s="23"/>
      <c r="M919" s="23"/>
      <c r="N919" s="23"/>
      <c r="O919" s="23"/>
      <c r="P919" s="23"/>
      <c r="Q919" s="23"/>
      <c r="R919" s="23"/>
      <c r="S919" s="23"/>
      <c r="T919" s="23"/>
      <c r="U919" s="23"/>
      <c r="V919" s="23"/>
      <c r="W919" s="23"/>
      <c r="X919" s="23"/>
      <c r="Y919" s="23"/>
      <c r="Z919" s="23"/>
      <c r="AA919" s="23"/>
      <c r="AB919" s="23"/>
    </row>
    <row r="920" spans="11:28" x14ac:dyDescent="0.2">
      <c r="K920" s="23"/>
      <c r="L920" s="23"/>
      <c r="M920" s="23"/>
      <c r="N920" s="23"/>
      <c r="O920" s="23"/>
      <c r="P920" s="23"/>
      <c r="Q920" s="23"/>
      <c r="R920" s="23"/>
      <c r="S920" s="23"/>
      <c r="T920" s="23"/>
      <c r="U920" s="23"/>
      <c r="V920" s="23"/>
      <c r="W920" s="23"/>
      <c r="X920" s="23"/>
      <c r="Y920" s="23"/>
      <c r="Z920" s="23"/>
      <c r="AA920" s="23"/>
      <c r="AB920" s="23"/>
    </row>
    <row r="921" spans="11:28" x14ac:dyDescent="0.2">
      <c r="K921" s="23"/>
      <c r="L921" s="23"/>
      <c r="M921" s="23"/>
      <c r="N921" s="23"/>
      <c r="O921" s="23"/>
      <c r="P921" s="23"/>
      <c r="Q921" s="23"/>
      <c r="R921" s="23"/>
      <c r="S921" s="23"/>
      <c r="T921" s="23"/>
      <c r="U921" s="23"/>
      <c r="V921" s="23"/>
      <c r="W921" s="23"/>
      <c r="X921" s="23"/>
      <c r="Y921" s="23"/>
      <c r="Z921" s="23"/>
      <c r="AA921" s="23"/>
      <c r="AB921" s="23"/>
    </row>
    <row r="922" spans="11:28" x14ac:dyDescent="0.2">
      <c r="K922" s="23"/>
      <c r="L922" s="23"/>
      <c r="M922" s="23"/>
      <c r="N922" s="23"/>
      <c r="O922" s="23"/>
      <c r="P922" s="23"/>
      <c r="Q922" s="23"/>
      <c r="R922" s="23"/>
      <c r="S922" s="23"/>
      <c r="T922" s="23"/>
      <c r="U922" s="23"/>
      <c r="V922" s="23"/>
      <c r="W922" s="23"/>
      <c r="X922" s="23"/>
      <c r="Y922" s="23"/>
      <c r="Z922" s="23"/>
      <c r="AA922" s="23"/>
      <c r="AB922" s="23"/>
    </row>
    <row r="923" spans="11:28" x14ac:dyDescent="0.2">
      <c r="K923" s="23"/>
      <c r="L923" s="23"/>
      <c r="M923" s="23"/>
      <c r="N923" s="23"/>
      <c r="O923" s="23"/>
      <c r="P923" s="23"/>
      <c r="Q923" s="23"/>
      <c r="R923" s="23"/>
      <c r="S923" s="23"/>
      <c r="T923" s="23"/>
      <c r="U923" s="23"/>
      <c r="V923" s="23"/>
      <c r="W923" s="23"/>
      <c r="X923" s="23"/>
      <c r="Y923" s="23"/>
      <c r="Z923" s="23"/>
      <c r="AA923" s="23"/>
      <c r="AB923" s="23"/>
    </row>
    <row r="924" spans="11:28" x14ac:dyDescent="0.2">
      <c r="K924" s="23"/>
      <c r="L924" s="23"/>
      <c r="M924" s="23"/>
      <c r="N924" s="23"/>
      <c r="O924" s="23"/>
      <c r="P924" s="23"/>
      <c r="Q924" s="23"/>
      <c r="R924" s="23"/>
      <c r="S924" s="23"/>
      <c r="T924" s="23"/>
      <c r="U924" s="23"/>
      <c r="V924" s="23"/>
      <c r="W924" s="23"/>
      <c r="X924" s="23"/>
      <c r="Y924" s="23"/>
      <c r="Z924" s="23"/>
      <c r="AA924" s="23"/>
      <c r="AB924" s="23"/>
    </row>
    <row r="925" spans="11:28" x14ac:dyDescent="0.2">
      <c r="K925" s="23"/>
      <c r="L925" s="23"/>
      <c r="M925" s="23"/>
      <c r="N925" s="23"/>
      <c r="O925" s="23"/>
      <c r="P925" s="23"/>
      <c r="Q925" s="23"/>
      <c r="R925" s="23"/>
      <c r="S925" s="23"/>
      <c r="T925" s="23"/>
      <c r="U925" s="23"/>
      <c r="V925" s="23"/>
      <c r="W925" s="23"/>
      <c r="X925" s="23"/>
      <c r="Y925" s="23"/>
      <c r="Z925" s="23"/>
      <c r="AA925" s="23"/>
      <c r="AB925" s="23"/>
    </row>
    <row r="926" spans="11:28" x14ac:dyDescent="0.2">
      <c r="K926" s="23"/>
      <c r="L926" s="23"/>
      <c r="M926" s="23"/>
      <c r="N926" s="23"/>
      <c r="O926" s="23"/>
      <c r="P926" s="23"/>
      <c r="Q926" s="23"/>
      <c r="R926" s="23"/>
      <c r="S926" s="23"/>
      <c r="T926" s="23"/>
      <c r="U926" s="23"/>
      <c r="V926" s="23"/>
      <c r="W926" s="23"/>
      <c r="X926" s="23"/>
      <c r="Y926" s="23"/>
      <c r="Z926" s="23"/>
      <c r="AA926" s="23"/>
      <c r="AB926" s="23"/>
    </row>
    <row r="927" spans="11:28" x14ac:dyDescent="0.2">
      <c r="K927" s="23"/>
      <c r="L927" s="23"/>
      <c r="M927" s="23"/>
      <c r="N927" s="23"/>
      <c r="O927" s="23"/>
      <c r="P927" s="23"/>
      <c r="Q927" s="23"/>
      <c r="R927" s="23"/>
      <c r="S927" s="23"/>
      <c r="T927" s="23"/>
      <c r="U927" s="23"/>
      <c r="V927" s="23"/>
      <c r="W927" s="23"/>
      <c r="X927" s="23"/>
      <c r="Y927" s="23"/>
      <c r="Z927" s="23"/>
      <c r="AA927" s="23"/>
      <c r="AB927" s="23"/>
    </row>
    <row r="928" spans="11:28" x14ac:dyDescent="0.2">
      <c r="K928" s="23"/>
      <c r="L928" s="23"/>
      <c r="M928" s="23"/>
      <c r="N928" s="23"/>
      <c r="O928" s="23"/>
      <c r="P928" s="23"/>
      <c r="Q928" s="23"/>
      <c r="R928" s="23"/>
      <c r="S928" s="23"/>
      <c r="T928" s="23"/>
      <c r="U928" s="23"/>
      <c r="V928" s="23"/>
      <c r="W928" s="23"/>
      <c r="X928" s="23"/>
      <c r="Y928" s="23"/>
      <c r="Z928" s="23"/>
      <c r="AA928" s="23"/>
      <c r="AB928" s="23"/>
    </row>
    <row r="929" spans="11:28" x14ac:dyDescent="0.2">
      <c r="K929" s="23"/>
      <c r="L929" s="23"/>
      <c r="M929" s="23"/>
      <c r="N929" s="23"/>
      <c r="O929" s="23"/>
      <c r="P929" s="23"/>
      <c r="Q929" s="23"/>
      <c r="R929" s="23"/>
      <c r="S929" s="23"/>
      <c r="T929" s="23"/>
      <c r="U929" s="23"/>
      <c r="V929" s="23"/>
      <c r="W929" s="23"/>
      <c r="X929" s="23"/>
      <c r="Y929" s="23"/>
      <c r="Z929" s="23"/>
      <c r="AA929" s="23"/>
      <c r="AB929" s="23"/>
    </row>
    <row r="930" spans="11:28" x14ac:dyDescent="0.2">
      <c r="K930" s="23"/>
      <c r="L930" s="23"/>
      <c r="M930" s="23"/>
      <c r="N930" s="23"/>
      <c r="O930" s="23"/>
      <c r="P930" s="23"/>
      <c r="Q930" s="23"/>
      <c r="R930" s="23"/>
      <c r="S930" s="23"/>
      <c r="T930" s="23"/>
      <c r="U930" s="23"/>
      <c r="V930" s="23"/>
      <c r="W930" s="23"/>
      <c r="X930" s="23"/>
      <c r="Y930" s="23"/>
      <c r="Z930" s="23"/>
      <c r="AA930" s="23"/>
      <c r="AB930" s="23"/>
    </row>
    <row r="931" spans="11:28" x14ac:dyDescent="0.2">
      <c r="K931" s="23"/>
      <c r="L931" s="23"/>
      <c r="M931" s="23"/>
      <c r="N931" s="23"/>
      <c r="O931" s="23"/>
      <c r="P931" s="23"/>
      <c r="Q931" s="23"/>
      <c r="R931" s="23"/>
      <c r="S931" s="23"/>
      <c r="T931" s="23"/>
      <c r="U931" s="23"/>
      <c r="V931" s="23"/>
      <c r="W931" s="23"/>
      <c r="X931" s="23"/>
      <c r="Y931" s="23"/>
      <c r="Z931" s="23"/>
      <c r="AA931" s="23"/>
      <c r="AB931" s="23"/>
    </row>
    <row r="932" spans="11:28" x14ac:dyDescent="0.2">
      <c r="K932" s="23"/>
      <c r="L932" s="23"/>
      <c r="M932" s="23"/>
      <c r="N932" s="23"/>
      <c r="O932" s="23"/>
      <c r="P932" s="23"/>
      <c r="Q932" s="23"/>
      <c r="R932" s="23"/>
      <c r="S932" s="23"/>
      <c r="T932" s="23"/>
      <c r="U932" s="23"/>
      <c r="V932" s="23"/>
      <c r="W932" s="23"/>
      <c r="X932" s="23"/>
      <c r="Y932" s="23"/>
      <c r="Z932" s="23"/>
      <c r="AA932" s="23"/>
      <c r="AB932" s="23"/>
    </row>
    <row r="933" spans="11:28" x14ac:dyDescent="0.2">
      <c r="K933" s="23"/>
      <c r="L933" s="23"/>
      <c r="M933" s="23"/>
      <c r="N933" s="23"/>
      <c r="O933" s="23"/>
      <c r="P933" s="23"/>
      <c r="Q933" s="23"/>
      <c r="R933" s="23"/>
      <c r="S933" s="23"/>
      <c r="T933" s="23"/>
      <c r="U933" s="23"/>
      <c r="V933" s="23"/>
      <c r="W933" s="23"/>
      <c r="X933" s="23"/>
      <c r="Y933" s="23"/>
      <c r="Z933" s="23"/>
      <c r="AA933" s="23"/>
      <c r="AB933" s="23"/>
    </row>
    <row r="934" spans="11:28" x14ac:dyDescent="0.2">
      <c r="K934" s="23"/>
      <c r="L934" s="23"/>
      <c r="M934" s="23"/>
      <c r="N934" s="23"/>
      <c r="O934" s="23"/>
      <c r="P934" s="23"/>
      <c r="Q934" s="23"/>
      <c r="R934" s="23"/>
      <c r="S934" s="23"/>
      <c r="T934" s="23"/>
      <c r="U934" s="23"/>
      <c r="V934" s="23"/>
      <c r="W934" s="23"/>
      <c r="X934" s="23"/>
      <c r="Y934" s="23"/>
      <c r="Z934" s="23"/>
      <c r="AA934" s="23"/>
      <c r="AB934" s="23"/>
    </row>
    <row r="935" spans="11:28" x14ac:dyDescent="0.2">
      <c r="K935" s="23"/>
      <c r="L935" s="23"/>
      <c r="M935" s="23"/>
      <c r="N935" s="23"/>
      <c r="O935" s="23"/>
      <c r="P935" s="23"/>
      <c r="Q935" s="23"/>
      <c r="R935" s="23"/>
      <c r="S935" s="23"/>
      <c r="T935" s="23"/>
      <c r="U935" s="23"/>
      <c r="V935" s="23"/>
      <c r="W935" s="23"/>
      <c r="X935" s="23"/>
      <c r="Y935" s="23"/>
      <c r="Z935" s="23"/>
      <c r="AA935" s="23"/>
      <c r="AB935" s="23"/>
    </row>
    <row r="936" spans="11:28" x14ac:dyDescent="0.2">
      <c r="K936" s="23"/>
      <c r="L936" s="23"/>
      <c r="M936" s="23"/>
      <c r="N936" s="23"/>
      <c r="O936" s="23"/>
      <c r="P936" s="23"/>
      <c r="Q936" s="23"/>
      <c r="R936" s="23"/>
      <c r="S936" s="23"/>
      <c r="T936" s="23"/>
      <c r="U936" s="23"/>
      <c r="V936" s="23"/>
      <c r="W936" s="23"/>
      <c r="X936" s="23"/>
      <c r="Y936" s="23"/>
      <c r="Z936" s="23"/>
      <c r="AA936" s="23"/>
      <c r="AB936" s="23"/>
    </row>
    <row r="937" spans="11:28" x14ac:dyDescent="0.2">
      <c r="K937" s="23"/>
      <c r="L937" s="23"/>
      <c r="M937" s="23"/>
      <c r="N937" s="23"/>
      <c r="O937" s="23"/>
      <c r="P937" s="23"/>
      <c r="Q937" s="23"/>
      <c r="R937" s="23"/>
      <c r="S937" s="23"/>
      <c r="T937" s="23"/>
      <c r="U937" s="23"/>
      <c r="V937" s="23"/>
      <c r="W937" s="23"/>
      <c r="X937" s="23"/>
      <c r="Y937" s="23"/>
      <c r="Z937" s="23"/>
      <c r="AA937" s="23"/>
      <c r="AB937" s="23"/>
    </row>
    <row r="938" spans="11:28" x14ac:dyDescent="0.2">
      <c r="K938" s="23"/>
      <c r="L938" s="23"/>
      <c r="M938" s="23"/>
      <c r="N938" s="23"/>
      <c r="O938" s="23"/>
      <c r="P938" s="23"/>
      <c r="Q938" s="23"/>
      <c r="R938" s="23"/>
      <c r="S938" s="23"/>
      <c r="T938" s="23"/>
      <c r="U938" s="23"/>
      <c r="V938" s="23"/>
      <c r="W938" s="23"/>
      <c r="X938" s="23"/>
      <c r="Y938" s="23"/>
      <c r="Z938" s="23"/>
      <c r="AA938" s="23"/>
      <c r="AB938" s="23"/>
    </row>
    <row r="939" spans="11:28" x14ac:dyDescent="0.2">
      <c r="K939" s="23"/>
      <c r="L939" s="23"/>
      <c r="M939" s="23"/>
      <c r="N939" s="23"/>
      <c r="O939" s="23"/>
      <c r="P939" s="23"/>
      <c r="Q939" s="23"/>
      <c r="R939" s="23"/>
      <c r="S939" s="23"/>
      <c r="T939" s="23"/>
      <c r="U939" s="23"/>
      <c r="V939" s="23"/>
      <c r="W939" s="23"/>
      <c r="X939" s="23"/>
      <c r="Y939" s="23"/>
      <c r="Z939" s="23"/>
      <c r="AA939" s="23"/>
      <c r="AB939" s="23"/>
    </row>
    <row r="940" spans="11:28" x14ac:dyDescent="0.2">
      <c r="K940" s="23"/>
      <c r="L940" s="23"/>
      <c r="M940" s="23"/>
      <c r="N940" s="23"/>
      <c r="O940" s="23"/>
      <c r="P940" s="23"/>
      <c r="Q940" s="23"/>
      <c r="R940" s="23"/>
      <c r="S940" s="23"/>
      <c r="T940" s="23"/>
      <c r="U940" s="23"/>
      <c r="V940" s="23"/>
      <c r="W940" s="23"/>
      <c r="X940" s="23"/>
      <c r="Y940" s="23"/>
      <c r="Z940" s="23"/>
      <c r="AA940" s="23"/>
      <c r="AB940" s="23"/>
    </row>
    <row r="941" spans="11:28" x14ac:dyDescent="0.2">
      <c r="K941" s="23"/>
      <c r="L941" s="23"/>
      <c r="M941" s="23"/>
      <c r="N941" s="23"/>
      <c r="O941" s="23"/>
      <c r="P941" s="23"/>
      <c r="Q941" s="23"/>
      <c r="R941" s="23"/>
      <c r="S941" s="23"/>
      <c r="T941" s="23"/>
      <c r="U941" s="23"/>
      <c r="V941" s="23"/>
      <c r="W941" s="23"/>
      <c r="X941" s="23"/>
      <c r="Y941" s="23"/>
      <c r="Z941" s="23"/>
      <c r="AA941" s="23"/>
      <c r="AB941" s="23"/>
    </row>
    <row r="942" spans="11:28" x14ac:dyDescent="0.2">
      <c r="K942" s="23"/>
      <c r="L942" s="23"/>
      <c r="M942" s="23"/>
      <c r="N942" s="23"/>
      <c r="O942" s="23"/>
      <c r="P942" s="23"/>
      <c r="Q942" s="23"/>
      <c r="R942" s="23"/>
      <c r="S942" s="23"/>
      <c r="T942" s="23"/>
      <c r="U942" s="23"/>
      <c r="V942" s="23"/>
      <c r="W942" s="23"/>
      <c r="X942" s="23"/>
      <c r="Y942" s="23"/>
      <c r="Z942" s="23"/>
      <c r="AA942" s="23"/>
      <c r="AB942" s="23"/>
    </row>
    <row r="943" spans="11:28" x14ac:dyDescent="0.2">
      <c r="K943" s="23"/>
      <c r="L943" s="23"/>
      <c r="M943" s="23"/>
      <c r="N943" s="23"/>
      <c r="O943" s="23"/>
      <c r="P943" s="23"/>
      <c r="Q943" s="23"/>
      <c r="R943" s="23"/>
      <c r="S943" s="23"/>
      <c r="T943" s="23"/>
      <c r="U943" s="23"/>
      <c r="V943" s="23"/>
      <c r="W943" s="23"/>
      <c r="X943" s="23"/>
      <c r="Y943" s="23"/>
      <c r="Z943" s="23"/>
      <c r="AA943" s="23"/>
      <c r="AB943" s="23"/>
    </row>
    <row r="944" spans="11:28" x14ac:dyDescent="0.2">
      <c r="K944" s="23"/>
      <c r="L944" s="23"/>
      <c r="M944" s="23"/>
      <c r="N944" s="23"/>
      <c r="O944" s="23"/>
      <c r="P944" s="23"/>
      <c r="Q944" s="23"/>
      <c r="R944" s="23"/>
      <c r="S944" s="23"/>
      <c r="T944" s="23"/>
      <c r="U944" s="23"/>
      <c r="V944" s="23"/>
      <c r="W944" s="23"/>
      <c r="X944" s="23"/>
      <c r="Y944" s="23"/>
      <c r="Z944" s="23"/>
      <c r="AA944" s="23"/>
      <c r="AB944" s="23"/>
    </row>
    <row r="945" spans="11:28" x14ac:dyDescent="0.2">
      <c r="K945" s="23"/>
      <c r="L945" s="23"/>
      <c r="M945" s="23"/>
      <c r="N945" s="23"/>
      <c r="O945" s="23"/>
      <c r="P945" s="23"/>
      <c r="Q945" s="23"/>
      <c r="R945" s="23"/>
      <c r="S945" s="23"/>
      <c r="T945" s="23"/>
      <c r="U945" s="23"/>
      <c r="V945" s="23"/>
      <c r="W945" s="23"/>
      <c r="X945" s="23"/>
      <c r="Y945" s="23"/>
      <c r="Z945" s="23"/>
      <c r="AA945" s="23"/>
      <c r="AB945" s="23"/>
    </row>
    <row r="946" spans="11:28" x14ac:dyDescent="0.2">
      <c r="K946" s="23"/>
      <c r="L946" s="23"/>
      <c r="M946" s="23"/>
      <c r="N946" s="23"/>
      <c r="O946" s="23"/>
      <c r="P946" s="23"/>
      <c r="Q946" s="23"/>
      <c r="R946" s="23"/>
      <c r="S946" s="23"/>
      <c r="T946" s="23"/>
      <c r="U946" s="23"/>
      <c r="V946" s="23"/>
      <c r="W946" s="23"/>
      <c r="X946" s="23"/>
      <c r="Y946" s="23"/>
      <c r="Z946" s="23"/>
      <c r="AA946" s="23"/>
      <c r="AB946" s="23"/>
    </row>
    <row r="947" spans="11:28" x14ac:dyDescent="0.2">
      <c r="K947" s="23"/>
      <c r="L947" s="23"/>
      <c r="M947" s="23"/>
      <c r="N947" s="23"/>
      <c r="O947" s="23"/>
      <c r="P947" s="23"/>
      <c r="Q947" s="23"/>
      <c r="R947" s="23"/>
      <c r="S947" s="23"/>
      <c r="T947" s="23"/>
      <c r="U947" s="23"/>
      <c r="V947" s="23"/>
      <c r="W947" s="23"/>
      <c r="X947" s="23"/>
      <c r="Y947" s="23"/>
      <c r="Z947" s="23"/>
      <c r="AA947" s="23"/>
      <c r="AB947" s="23"/>
    </row>
    <row r="948" spans="11:28" x14ac:dyDescent="0.2">
      <c r="K948" s="23"/>
      <c r="L948" s="23"/>
      <c r="M948" s="23"/>
      <c r="N948" s="23"/>
      <c r="O948" s="23"/>
      <c r="P948" s="23"/>
      <c r="Q948" s="23"/>
      <c r="R948" s="23"/>
      <c r="S948" s="23"/>
      <c r="T948" s="23"/>
      <c r="U948" s="23"/>
      <c r="V948" s="23"/>
      <c r="W948" s="23"/>
      <c r="X948" s="23"/>
      <c r="Y948" s="23"/>
      <c r="Z948" s="23"/>
      <c r="AA948" s="23"/>
      <c r="AB948" s="23"/>
    </row>
    <row r="949" spans="11:28" x14ac:dyDescent="0.2">
      <c r="K949" s="23"/>
      <c r="L949" s="23"/>
      <c r="M949" s="23"/>
      <c r="N949" s="23"/>
      <c r="O949" s="23"/>
      <c r="P949" s="23"/>
      <c r="Q949" s="23"/>
      <c r="R949" s="23"/>
      <c r="S949" s="23"/>
      <c r="T949" s="23"/>
      <c r="U949" s="23"/>
      <c r="V949" s="23"/>
      <c r="W949" s="23"/>
      <c r="X949" s="23"/>
      <c r="Y949" s="23"/>
      <c r="Z949" s="23"/>
      <c r="AA949" s="23"/>
      <c r="AB949" s="23"/>
    </row>
    <row r="950" spans="11:28" x14ac:dyDescent="0.2">
      <c r="K950" s="23"/>
      <c r="L950" s="23"/>
      <c r="M950" s="23"/>
      <c r="N950" s="23"/>
      <c r="O950" s="23"/>
      <c r="P950" s="23"/>
      <c r="Q950" s="23"/>
      <c r="R950" s="23"/>
      <c r="S950" s="23"/>
      <c r="T950" s="23"/>
      <c r="U950" s="23"/>
      <c r="V950" s="23"/>
      <c r="W950" s="23"/>
      <c r="X950" s="23"/>
      <c r="Y950" s="23"/>
      <c r="Z950" s="23"/>
      <c r="AA950" s="23"/>
      <c r="AB950" s="23"/>
    </row>
    <row r="951" spans="11:28" x14ac:dyDescent="0.2">
      <c r="K951" s="23"/>
      <c r="L951" s="23"/>
      <c r="M951" s="23"/>
      <c r="N951" s="23"/>
      <c r="O951" s="23"/>
      <c r="P951" s="23"/>
      <c r="Q951" s="23"/>
      <c r="R951" s="23"/>
      <c r="S951" s="23"/>
      <c r="T951" s="23"/>
      <c r="U951" s="23"/>
      <c r="V951" s="23"/>
      <c r="W951" s="23"/>
      <c r="X951" s="23"/>
      <c r="Y951" s="23"/>
      <c r="Z951" s="23"/>
      <c r="AA951" s="23"/>
      <c r="AB951" s="23"/>
    </row>
    <row r="952" spans="11:28" x14ac:dyDescent="0.2">
      <c r="K952" s="23"/>
      <c r="L952" s="23"/>
      <c r="M952" s="23"/>
      <c r="N952" s="23"/>
      <c r="O952" s="23"/>
      <c r="P952" s="23"/>
      <c r="Q952" s="23"/>
      <c r="R952" s="23"/>
      <c r="S952" s="23"/>
      <c r="T952" s="23"/>
      <c r="U952" s="23"/>
      <c r="V952" s="23"/>
      <c r="W952" s="23"/>
      <c r="X952" s="23"/>
      <c r="Y952" s="23"/>
      <c r="Z952" s="23"/>
      <c r="AA952" s="23"/>
      <c r="AB952" s="23"/>
    </row>
    <row r="953" spans="11:28" x14ac:dyDescent="0.2">
      <c r="K953" s="23"/>
      <c r="L953" s="23"/>
      <c r="M953" s="23"/>
      <c r="N953" s="23"/>
      <c r="O953" s="23"/>
      <c r="P953" s="23"/>
      <c r="Q953" s="23"/>
      <c r="R953" s="23"/>
      <c r="S953" s="23"/>
      <c r="T953" s="23"/>
      <c r="U953" s="23"/>
      <c r="V953" s="23"/>
      <c r="W953" s="23"/>
      <c r="X953" s="23"/>
      <c r="Y953" s="23"/>
      <c r="Z953" s="23"/>
      <c r="AA953" s="23"/>
      <c r="AB953" s="23"/>
    </row>
    <row r="954" spans="11:28" x14ac:dyDescent="0.2">
      <c r="K954" s="23"/>
      <c r="L954" s="23"/>
      <c r="M954" s="23"/>
      <c r="N954" s="23"/>
      <c r="O954" s="23"/>
      <c r="P954" s="23"/>
      <c r="Q954" s="23"/>
      <c r="R954" s="23"/>
      <c r="S954" s="23"/>
      <c r="T954" s="23"/>
      <c r="U954" s="23"/>
      <c r="V954" s="23"/>
      <c r="W954" s="23"/>
      <c r="X954" s="23"/>
      <c r="Y954" s="23"/>
      <c r="Z954" s="23"/>
      <c r="AA954" s="23"/>
      <c r="AB954" s="23"/>
    </row>
    <row r="955" spans="11:28" x14ac:dyDescent="0.2">
      <c r="K955" s="23"/>
      <c r="L955" s="23"/>
      <c r="M955" s="23"/>
      <c r="N955" s="23"/>
      <c r="O955" s="23"/>
      <c r="P955" s="23"/>
      <c r="Q955" s="23"/>
      <c r="R955" s="23"/>
      <c r="S955" s="23"/>
      <c r="T955" s="23"/>
      <c r="U955" s="23"/>
      <c r="V955" s="23"/>
      <c r="W955" s="23"/>
      <c r="X955" s="23"/>
      <c r="Y955" s="23"/>
      <c r="Z955" s="23"/>
      <c r="AA955" s="23"/>
      <c r="AB955" s="23"/>
    </row>
    <row r="956" spans="11:28" x14ac:dyDescent="0.2">
      <c r="K956" s="23"/>
      <c r="L956" s="23"/>
      <c r="M956" s="23"/>
      <c r="N956" s="23"/>
      <c r="O956" s="23"/>
      <c r="P956" s="23"/>
      <c r="Q956" s="23"/>
      <c r="R956" s="23"/>
      <c r="S956" s="23"/>
      <c r="T956" s="23"/>
      <c r="U956" s="23"/>
      <c r="V956" s="23"/>
      <c r="W956" s="23"/>
      <c r="X956" s="23"/>
      <c r="Y956" s="23"/>
      <c r="Z956" s="23"/>
      <c r="AA956" s="23"/>
      <c r="AB956" s="23"/>
    </row>
    <row r="957" spans="11:28" x14ac:dyDescent="0.2">
      <c r="K957" s="23"/>
      <c r="L957" s="23"/>
      <c r="M957" s="23"/>
      <c r="N957" s="23"/>
      <c r="O957" s="23"/>
      <c r="P957" s="23"/>
      <c r="Q957" s="23"/>
      <c r="R957" s="23"/>
      <c r="S957" s="23"/>
      <c r="T957" s="23"/>
      <c r="U957" s="23"/>
      <c r="V957" s="23"/>
      <c r="W957" s="23"/>
      <c r="X957" s="23"/>
      <c r="Y957" s="23"/>
      <c r="Z957" s="23"/>
      <c r="AA957" s="23"/>
      <c r="AB957" s="23"/>
    </row>
    <row r="958" spans="11:28" x14ac:dyDescent="0.2">
      <c r="K958" s="23"/>
      <c r="L958" s="23"/>
      <c r="M958" s="23"/>
      <c r="N958" s="23"/>
      <c r="O958" s="23"/>
      <c r="P958" s="23"/>
      <c r="Q958" s="23"/>
      <c r="R958" s="23"/>
      <c r="S958" s="23"/>
      <c r="T958" s="23"/>
      <c r="U958" s="23"/>
      <c r="V958" s="23"/>
      <c r="W958" s="23"/>
      <c r="X958" s="23"/>
      <c r="Y958" s="23"/>
      <c r="Z958" s="23"/>
      <c r="AA958" s="23"/>
      <c r="AB958" s="23"/>
    </row>
    <row r="959" spans="11:28" x14ac:dyDescent="0.2">
      <c r="K959" s="23"/>
      <c r="L959" s="23"/>
      <c r="M959" s="23"/>
      <c r="N959" s="23"/>
      <c r="O959" s="23"/>
      <c r="P959" s="23"/>
      <c r="Q959" s="23"/>
      <c r="R959" s="23"/>
      <c r="S959" s="23"/>
      <c r="T959" s="23"/>
      <c r="U959" s="23"/>
      <c r="V959" s="23"/>
      <c r="W959" s="23"/>
      <c r="X959" s="23"/>
      <c r="Y959" s="23"/>
      <c r="Z959" s="23"/>
      <c r="AA959" s="23"/>
      <c r="AB959" s="23"/>
    </row>
    <row r="960" spans="11:28" x14ac:dyDescent="0.2">
      <c r="K960" s="23"/>
      <c r="L960" s="23"/>
      <c r="M960" s="23"/>
      <c r="N960" s="23"/>
      <c r="O960" s="23"/>
      <c r="P960" s="23"/>
      <c r="Q960" s="23"/>
      <c r="R960" s="23"/>
      <c r="S960" s="23"/>
      <c r="T960" s="23"/>
      <c r="U960" s="23"/>
      <c r="V960" s="23"/>
      <c r="W960" s="23"/>
      <c r="X960" s="23"/>
      <c r="Y960" s="23"/>
      <c r="Z960" s="23"/>
      <c r="AA960" s="23"/>
      <c r="AB960" s="23"/>
    </row>
    <row r="961" spans="11:28" x14ac:dyDescent="0.2">
      <c r="K961" s="23"/>
      <c r="L961" s="23"/>
      <c r="M961" s="23"/>
      <c r="N961" s="23"/>
      <c r="O961" s="23"/>
      <c r="P961" s="23"/>
      <c r="Q961" s="23"/>
      <c r="R961" s="23"/>
      <c r="S961" s="23"/>
      <c r="T961" s="23"/>
      <c r="U961" s="23"/>
      <c r="V961" s="23"/>
      <c r="W961" s="23"/>
      <c r="X961" s="23"/>
      <c r="Y961" s="23"/>
      <c r="Z961" s="23"/>
      <c r="AA961" s="23"/>
      <c r="AB961" s="23"/>
    </row>
    <row r="962" spans="11:28" x14ac:dyDescent="0.2">
      <c r="K962" s="23"/>
      <c r="L962" s="23"/>
      <c r="M962" s="23"/>
      <c r="N962" s="23"/>
      <c r="O962" s="23"/>
      <c r="P962" s="23"/>
      <c r="Q962" s="23"/>
      <c r="R962" s="23"/>
      <c r="S962" s="23"/>
      <c r="T962" s="23"/>
      <c r="U962" s="23"/>
      <c r="V962" s="23"/>
      <c r="W962" s="23"/>
      <c r="X962" s="23"/>
      <c r="Y962" s="23"/>
      <c r="Z962" s="23"/>
      <c r="AA962" s="23"/>
      <c r="AB962" s="23"/>
    </row>
    <row r="963" spans="11:28" x14ac:dyDescent="0.2">
      <c r="K963" s="23"/>
      <c r="L963" s="23"/>
      <c r="M963" s="23"/>
      <c r="N963" s="23"/>
      <c r="O963" s="23"/>
      <c r="P963" s="23"/>
      <c r="Q963" s="23"/>
      <c r="R963" s="23"/>
      <c r="S963" s="23"/>
      <c r="T963" s="23"/>
      <c r="U963" s="23"/>
      <c r="V963" s="23"/>
      <c r="W963" s="23"/>
      <c r="X963" s="23"/>
      <c r="Y963" s="23"/>
      <c r="Z963" s="23"/>
      <c r="AA963" s="23"/>
      <c r="AB963" s="23"/>
    </row>
    <row r="964" spans="11:28" x14ac:dyDescent="0.2">
      <c r="K964" s="23"/>
      <c r="L964" s="23"/>
      <c r="M964" s="23"/>
      <c r="N964" s="23"/>
      <c r="O964" s="23"/>
      <c r="P964" s="23"/>
      <c r="Q964" s="23"/>
      <c r="R964" s="23"/>
      <c r="S964" s="23"/>
      <c r="T964" s="23"/>
      <c r="U964" s="23"/>
      <c r="V964" s="23"/>
      <c r="W964" s="23"/>
      <c r="X964" s="23"/>
      <c r="Y964" s="23"/>
      <c r="Z964" s="23"/>
      <c r="AA964" s="23"/>
      <c r="AB964" s="23"/>
    </row>
    <row r="965" spans="11:28" x14ac:dyDescent="0.2">
      <c r="K965" s="23"/>
      <c r="L965" s="23"/>
      <c r="M965" s="23"/>
      <c r="N965" s="23"/>
      <c r="O965" s="23"/>
      <c r="P965" s="23"/>
      <c r="Q965" s="23"/>
      <c r="R965" s="23"/>
      <c r="S965" s="23"/>
      <c r="T965" s="23"/>
      <c r="U965" s="23"/>
      <c r="V965" s="23"/>
      <c r="W965" s="23"/>
      <c r="X965" s="23"/>
      <c r="Y965" s="23"/>
      <c r="Z965" s="23"/>
      <c r="AA965" s="23"/>
      <c r="AB965" s="23"/>
    </row>
    <row r="966" spans="11:28" x14ac:dyDescent="0.2">
      <c r="K966" s="23"/>
      <c r="L966" s="23"/>
      <c r="M966" s="23"/>
      <c r="N966" s="23"/>
      <c r="O966" s="23"/>
      <c r="P966" s="23"/>
      <c r="Q966" s="23"/>
      <c r="R966" s="23"/>
      <c r="S966" s="23"/>
      <c r="T966" s="23"/>
      <c r="U966" s="23"/>
      <c r="V966" s="23"/>
      <c r="W966" s="23"/>
      <c r="X966" s="23"/>
      <c r="Y966" s="23"/>
      <c r="Z966" s="23"/>
      <c r="AA966" s="23"/>
      <c r="AB966" s="23"/>
    </row>
    <row r="967" spans="11:28" x14ac:dyDescent="0.2">
      <c r="K967" s="23"/>
      <c r="L967" s="23"/>
      <c r="M967" s="23"/>
      <c r="N967" s="23"/>
      <c r="O967" s="23"/>
      <c r="P967" s="23"/>
      <c r="Q967" s="23"/>
      <c r="R967" s="23"/>
      <c r="S967" s="23"/>
      <c r="T967" s="23"/>
      <c r="U967" s="23"/>
      <c r="V967" s="23"/>
      <c r="W967" s="23"/>
      <c r="X967" s="23"/>
      <c r="Y967" s="23"/>
      <c r="Z967" s="23"/>
      <c r="AA967" s="23"/>
      <c r="AB967" s="23"/>
    </row>
    <row r="968" spans="11:28" x14ac:dyDescent="0.2">
      <c r="K968" s="23"/>
      <c r="L968" s="23"/>
      <c r="M968" s="23"/>
      <c r="N968" s="23"/>
      <c r="O968" s="23"/>
      <c r="P968" s="23"/>
      <c r="Q968" s="23"/>
      <c r="R968" s="23"/>
      <c r="S968" s="23"/>
      <c r="T968" s="23"/>
      <c r="U968" s="23"/>
      <c r="V968" s="23"/>
      <c r="W968" s="23"/>
      <c r="X968" s="23"/>
      <c r="Y968" s="23"/>
      <c r="Z968" s="23"/>
      <c r="AA968" s="23"/>
      <c r="AB968" s="23"/>
    </row>
    <row r="969" spans="11:28" x14ac:dyDescent="0.2">
      <c r="K969" s="23"/>
      <c r="L969" s="23"/>
      <c r="M969" s="23"/>
      <c r="N969" s="23"/>
      <c r="O969" s="23"/>
      <c r="P969" s="23"/>
      <c r="Q969" s="23"/>
      <c r="R969" s="23"/>
      <c r="S969" s="23"/>
      <c r="T969" s="23"/>
      <c r="U969" s="23"/>
      <c r="V969" s="23"/>
      <c r="W969" s="23"/>
      <c r="X969" s="23"/>
      <c r="Y969" s="23"/>
      <c r="Z969" s="23"/>
      <c r="AA969" s="23"/>
      <c r="AB969" s="23"/>
    </row>
    <row r="970" spans="11:28" x14ac:dyDescent="0.2">
      <c r="K970" s="23"/>
      <c r="L970" s="23"/>
      <c r="M970" s="23"/>
      <c r="N970" s="23"/>
      <c r="O970" s="23"/>
      <c r="P970" s="23"/>
      <c r="Q970" s="23"/>
      <c r="R970" s="23"/>
      <c r="S970" s="23"/>
      <c r="T970" s="23"/>
      <c r="U970" s="23"/>
      <c r="V970" s="23"/>
      <c r="W970" s="23"/>
      <c r="X970" s="23"/>
      <c r="Y970" s="23"/>
      <c r="Z970" s="23"/>
      <c r="AA970" s="23"/>
      <c r="AB970" s="23"/>
    </row>
    <row r="971" spans="11:28" x14ac:dyDescent="0.2">
      <c r="K971" s="23"/>
      <c r="L971" s="23"/>
      <c r="M971" s="23"/>
      <c r="N971" s="23"/>
      <c r="O971" s="23"/>
      <c r="P971" s="23"/>
      <c r="Q971" s="23"/>
      <c r="R971" s="23"/>
      <c r="S971" s="23"/>
      <c r="T971" s="23"/>
      <c r="U971" s="23"/>
      <c r="V971" s="23"/>
      <c r="W971" s="23"/>
      <c r="X971" s="23"/>
      <c r="Y971" s="23"/>
      <c r="Z971" s="23"/>
      <c r="AA971" s="23"/>
      <c r="AB971" s="23"/>
    </row>
    <row r="972" spans="11:28" x14ac:dyDescent="0.2">
      <c r="K972" s="23"/>
      <c r="L972" s="23"/>
      <c r="M972" s="23"/>
      <c r="N972" s="23"/>
      <c r="O972" s="23"/>
      <c r="P972" s="23"/>
      <c r="Q972" s="23"/>
      <c r="R972" s="23"/>
      <c r="S972" s="23"/>
      <c r="T972" s="23"/>
      <c r="U972" s="23"/>
      <c r="V972" s="23"/>
      <c r="W972" s="23"/>
      <c r="X972" s="23"/>
      <c r="Y972" s="23"/>
      <c r="Z972" s="23"/>
      <c r="AA972" s="23"/>
      <c r="AB972" s="23"/>
    </row>
    <row r="973" spans="11:28" x14ac:dyDescent="0.2">
      <c r="K973" s="23"/>
      <c r="L973" s="23"/>
      <c r="M973" s="23"/>
      <c r="N973" s="23"/>
      <c r="O973" s="23"/>
      <c r="P973" s="23"/>
      <c r="Q973" s="23"/>
      <c r="R973" s="23"/>
      <c r="S973" s="23"/>
      <c r="T973" s="23"/>
      <c r="U973" s="23"/>
      <c r="V973" s="23"/>
      <c r="W973" s="23"/>
      <c r="X973" s="23"/>
      <c r="Y973" s="23"/>
      <c r="Z973" s="23"/>
      <c r="AA973" s="23"/>
      <c r="AB973" s="23"/>
    </row>
    <row r="974" spans="11:28" x14ac:dyDescent="0.2">
      <c r="K974" s="23"/>
      <c r="L974" s="23"/>
      <c r="M974" s="23"/>
      <c r="N974" s="23"/>
      <c r="O974" s="23"/>
      <c r="P974" s="23"/>
      <c r="Q974" s="23"/>
      <c r="R974" s="23"/>
      <c r="S974" s="23"/>
      <c r="T974" s="23"/>
      <c r="U974" s="23"/>
      <c r="V974" s="23"/>
      <c r="W974" s="23"/>
      <c r="X974" s="23"/>
      <c r="Y974" s="23"/>
      <c r="Z974" s="23"/>
      <c r="AA974" s="23"/>
      <c r="AB974" s="23"/>
    </row>
    <row r="975" spans="11:28" x14ac:dyDescent="0.2">
      <c r="K975" s="23"/>
      <c r="L975" s="23"/>
      <c r="M975" s="23"/>
      <c r="N975" s="23"/>
      <c r="O975" s="23"/>
      <c r="P975" s="23"/>
      <c r="Q975" s="23"/>
      <c r="R975" s="23"/>
      <c r="S975" s="23"/>
      <c r="T975" s="23"/>
      <c r="U975" s="23"/>
      <c r="V975" s="23"/>
      <c r="W975" s="23"/>
      <c r="X975" s="23"/>
      <c r="Y975" s="23"/>
      <c r="Z975" s="23"/>
      <c r="AA975" s="23"/>
      <c r="AB975" s="23"/>
    </row>
    <row r="976" spans="11:28" x14ac:dyDescent="0.2">
      <c r="K976" s="23"/>
      <c r="L976" s="23"/>
      <c r="M976" s="23"/>
      <c r="N976" s="23"/>
      <c r="O976" s="23"/>
      <c r="P976" s="23"/>
      <c r="Q976" s="23"/>
      <c r="R976" s="23"/>
      <c r="S976" s="23"/>
      <c r="T976" s="23"/>
      <c r="U976" s="23"/>
      <c r="V976" s="23"/>
      <c r="W976" s="23"/>
      <c r="X976" s="23"/>
      <c r="Y976" s="23"/>
      <c r="Z976" s="23"/>
      <c r="AA976" s="23"/>
      <c r="AB976" s="23"/>
    </row>
    <row r="977" spans="11:28" x14ac:dyDescent="0.2">
      <c r="K977" s="23"/>
      <c r="L977" s="23"/>
      <c r="M977" s="23"/>
      <c r="N977" s="23"/>
      <c r="O977" s="23"/>
      <c r="P977" s="23"/>
      <c r="Q977" s="23"/>
      <c r="R977" s="23"/>
      <c r="S977" s="23"/>
      <c r="T977" s="23"/>
      <c r="U977" s="23"/>
      <c r="V977" s="23"/>
      <c r="W977" s="23"/>
      <c r="X977" s="23"/>
      <c r="Y977" s="23"/>
      <c r="Z977" s="23"/>
      <c r="AA977" s="23"/>
      <c r="AB977" s="23"/>
    </row>
    <row r="978" spans="11:28" x14ac:dyDescent="0.2">
      <c r="K978" s="23"/>
      <c r="L978" s="23"/>
      <c r="M978" s="23"/>
      <c r="N978" s="23"/>
      <c r="O978" s="23"/>
      <c r="P978" s="23"/>
      <c r="Q978" s="23"/>
      <c r="R978" s="23"/>
      <c r="S978" s="23"/>
      <c r="T978" s="23"/>
      <c r="U978" s="23"/>
      <c r="V978" s="23"/>
      <c r="W978" s="23"/>
      <c r="X978" s="23"/>
      <c r="Y978" s="23"/>
      <c r="Z978" s="23"/>
      <c r="AA978" s="23"/>
      <c r="AB978" s="23"/>
    </row>
    <row r="979" spans="11:28" x14ac:dyDescent="0.2">
      <c r="K979" s="23"/>
      <c r="L979" s="23"/>
      <c r="M979" s="23"/>
      <c r="N979" s="23"/>
      <c r="O979" s="23"/>
      <c r="P979" s="23"/>
      <c r="Q979" s="23"/>
      <c r="R979" s="23"/>
      <c r="S979" s="23"/>
      <c r="T979" s="23"/>
      <c r="U979" s="23"/>
      <c r="V979" s="23"/>
      <c r="W979" s="23"/>
      <c r="X979" s="23"/>
      <c r="Y979" s="23"/>
      <c r="Z979" s="23"/>
      <c r="AA979" s="23"/>
      <c r="AB979" s="23"/>
    </row>
    <row r="980" spans="11:28" x14ac:dyDescent="0.2">
      <c r="K980" s="23"/>
      <c r="L980" s="23"/>
      <c r="M980" s="23"/>
      <c r="N980" s="23"/>
      <c r="O980" s="23"/>
      <c r="P980" s="23"/>
      <c r="Q980" s="23"/>
      <c r="R980" s="23"/>
      <c r="S980" s="23"/>
      <c r="T980" s="23"/>
      <c r="U980" s="23"/>
      <c r="V980" s="23"/>
      <c r="W980" s="23"/>
      <c r="X980" s="23"/>
      <c r="Y980" s="23"/>
      <c r="Z980" s="23"/>
      <c r="AA980" s="23"/>
      <c r="AB980" s="23"/>
    </row>
    <row r="981" spans="11:28" x14ac:dyDescent="0.2">
      <c r="K981" s="23"/>
      <c r="L981" s="23"/>
      <c r="M981" s="23"/>
      <c r="N981" s="23"/>
      <c r="O981" s="23"/>
      <c r="P981" s="23"/>
      <c r="Q981" s="23"/>
      <c r="R981" s="23"/>
      <c r="S981" s="23"/>
      <c r="T981" s="23"/>
      <c r="U981" s="23"/>
      <c r="V981" s="23"/>
      <c r="W981" s="23"/>
      <c r="X981" s="23"/>
      <c r="Y981" s="23"/>
      <c r="Z981" s="23"/>
      <c r="AA981" s="23"/>
      <c r="AB981" s="23"/>
    </row>
    <row r="982" spans="11:28" x14ac:dyDescent="0.2">
      <c r="K982" s="23"/>
      <c r="L982" s="23"/>
      <c r="M982" s="23"/>
      <c r="N982" s="23"/>
      <c r="O982" s="23"/>
      <c r="P982" s="23"/>
      <c r="Q982" s="23"/>
      <c r="R982" s="23"/>
      <c r="S982" s="23"/>
      <c r="T982" s="23"/>
      <c r="U982" s="23"/>
      <c r="V982" s="23"/>
      <c r="W982" s="23"/>
      <c r="X982" s="23"/>
      <c r="Y982" s="23"/>
      <c r="Z982" s="23"/>
      <c r="AA982" s="23"/>
      <c r="AB982" s="23"/>
    </row>
    <row r="983" spans="11:28" x14ac:dyDescent="0.2">
      <c r="K983" s="23"/>
      <c r="L983" s="23"/>
      <c r="M983" s="23"/>
      <c r="N983" s="23"/>
      <c r="O983" s="23"/>
      <c r="P983" s="23"/>
      <c r="Q983" s="23"/>
      <c r="R983" s="23"/>
      <c r="S983" s="23"/>
      <c r="T983" s="23"/>
      <c r="U983" s="23"/>
      <c r="V983" s="23"/>
      <c r="W983" s="23"/>
      <c r="X983" s="23"/>
      <c r="Y983" s="23"/>
      <c r="Z983" s="23"/>
      <c r="AA983" s="23"/>
      <c r="AB983" s="23"/>
    </row>
    <row r="984" spans="11:28" x14ac:dyDescent="0.2">
      <c r="K984" s="23"/>
      <c r="L984" s="23"/>
      <c r="M984" s="23"/>
      <c r="N984" s="23"/>
      <c r="O984" s="23"/>
      <c r="P984" s="23"/>
      <c r="Q984" s="23"/>
      <c r="R984" s="23"/>
      <c r="S984" s="23"/>
      <c r="T984" s="23"/>
      <c r="U984" s="23"/>
      <c r="V984" s="23"/>
      <c r="W984" s="23"/>
      <c r="X984" s="23"/>
      <c r="Y984" s="23"/>
      <c r="Z984" s="23"/>
      <c r="AA984" s="23"/>
      <c r="AB984" s="23"/>
    </row>
    <row r="985" spans="11:28" x14ac:dyDescent="0.2">
      <c r="K985" s="23"/>
      <c r="L985" s="23"/>
      <c r="M985" s="23"/>
      <c r="N985" s="23"/>
      <c r="O985" s="23"/>
      <c r="P985" s="23"/>
      <c r="Q985" s="23"/>
      <c r="R985" s="23"/>
      <c r="S985" s="23"/>
      <c r="T985" s="23"/>
      <c r="U985" s="23"/>
      <c r="V985" s="23"/>
      <c r="W985" s="23"/>
      <c r="X985" s="23"/>
      <c r="Y985" s="23"/>
      <c r="Z985" s="23"/>
      <c r="AA985" s="23"/>
      <c r="AB985" s="23"/>
    </row>
    <row r="986" spans="11:28" x14ac:dyDescent="0.2">
      <c r="K986" s="23"/>
      <c r="L986" s="23"/>
      <c r="M986" s="23"/>
      <c r="N986" s="23"/>
      <c r="O986" s="23"/>
      <c r="P986" s="23"/>
      <c r="Q986" s="23"/>
      <c r="R986" s="23"/>
      <c r="S986" s="23"/>
      <c r="T986" s="23"/>
      <c r="U986" s="23"/>
      <c r="V986" s="23"/>
      <c r="W986" s="23"/>
      <c r="X986" s="23"/>
      <c r="Y986" s="23"/>
      <c r="Z986" s="23"/>
      <c r="AA986" s="23"/>
      <c r="AB986" s="23"/>
    </row>
    <row r="987" spans="11:28" x14ac:dyDescent="0.2">
      <c r="K987" s="23"/>
      <c r="L987" s="23"/>
      <c r="M987" s="23"/>
      <c r="N987" s="23"/>
      <c r="O987" s="23"/>
      <c r="P987" s="23"/>
      <c r="Q987" s="23"/>
      <c r="R987" s="23"/>
      <c r="S987" s="23"/>
      <c r="T987" s="23"/>
      <c r="U987" s="23"/>
      <c r="V987" s="23"/>
      <c r="W987" s="23"/>
      <c r="X987" s="23"/>
      <c r="Y987" s="23"/>
      <c r="Z987" s="23"/>
      <c r="AA987" s="23"/>
      <c r="AB987" s="23"/>
    </row>
    <row r="988" spans="11:28" x14ac:dyDescent="0.2">
      <c r="K988" s="23"/>
      <c r="L988" s="23"/>
      <c r="M988" s="23"/>
      <c r="N988" s="23"/>
      <c r="O988" s="23"/>
      <c r="P988" s="23"/>
      <c r="Q988" s="23"/>
      <c r="R988" s="23"/>
      <c r="S988" s="23"/>
      <c r="T988" s="23"/>
      <c r="U988" s="23"/>
      <c r="V988" s="23"/>
      <c r="W988" s="23"/>
      <c r="X988" s="23"/>
      <c r="Y988" s="23"/>
      <c r="Z988" s="23"/>
      <c r="AA988" s="23"/>
      <c r="AB988" s="23"/>
    </row>
    <row r="989" spans="11:28" x14ac:dyDescent="0.2">
      <c r="K989" s="23"/>
      <c r="L989" s="23"/>
      <c r="M989" s="23"/>
      <c r="N989" s="23"/>
      <c r="O989" s="23"/>
      <c r="P989" s="23"/>
      <c r="Q989" s="23"/>
      <c r="R989" s="23"/>
      <c r="S989" s="23"/>
      <c r="T989" s="23"/>
      <c r="U989" s="23"/>
      <c r="V989" s="23"/>
      <c r="W989" s="23"/>
      <c r="X989" s="23"/>
      <c r="Y989" s="23"/>
      <c r="Z989" s="23"/>
      <c r="AA989" s="23"/>
      <c r="AB989" s="23"/>
    </row>
    <row r="990" spans="11:28" x14ac:dyDescent="0.2">
      <c r="K990" s="23"/>
      <c r="L990" s="23"/>
      <c r="M990" s="23"/>
      <c r="N990" s="23"/>
      <c r="O990" s="23"/>
      <c r="P990" s="23"/>
      <c r="Q990" s="23"/>
      <c r="R990" s="23"/>
      <c r="S990" s="23"/>
      <c r="T990" s="23"/>
      <c r="U990" s="23"/>
      <c r="V990" s="23"/>
      <c r="W990" s="23"/>
      <c r="X990" s="23"/>
      <c r="Y990" s="23"/>
      <c r="Z990" s="23"/>
      <c r="AA990" s="23"/>
      <c r="AB990" s="23"/>
    </row>
    <row r="991" spans="11:28" x14ac:dyDescent="0.2">
      <c r="K991" s="23"/>
      <c r="L991" s="23"/>
      <c r="M991" s="23"/>
      <c r="N991" s="23"/>
      <c r="O991" s="23"/>
      <c r="P991" s="23"/>
      <c r="Q991" s="23"/>
      <c r="R991" s="23"/>
      <c r="S991" s="23"/>
      <c r="T991" s="23"/>
      <c r="U991" s="23"/>
      <c r="V991" s="23"/>
      <c r="W991" s="23"/>
      <c r="X991" s="23"/>
      <c r="Y991" s="23"/>
      <c r="Z991" s="23"/>
      <c r="AA991" s="23"/>
      <c r="AB991" s="23"/>
    </row>
    <row r="992" spans="11:28" x14ac:dyDescent="0.2">
      <c r="K992" s="23"/>
      <c r="L992" s="23"/>
      <c r="M992" s="23"/>
      <c r="N992" s="23"/>
      <c r="O992" s="23"/>
      <c r="P992" s="23"/>
      <c r="Q992" s="23"/>
      <c r="R992" s="23"/>
      <c r="S992" s="23"/>
      <c r="T992" s="23"/>
      <c r="U992" s="23"/>
      <c r="V992" s="23"/>
      <c r="W992" s="23"/>
      <c r="X992" s="23"/>
      <c r="Y992" s="23"/>
      <c r="Z992" s="23"/>
      <c r="AA992" s="23"/>
      <c r="AB992" s="23"/>
    </row>
    <row r="993" spans="11:28" x14ac:dyDescent="0.2">
      <c r="K993" s="23"/>
      <c r="L993" s="23"/>
      <c r="M993" s="23"/>
      <c r="N993" s="23"/>
      <c r="O993" s="23"/>
      <c r="P993" s="23"/>
      <c r="Q993" s="23"/>
      <c r="R993" s="23"/>
      <c r="S993" s="23"/>
      <c r="T993" s="23"/>
      <c r="U993" s="23"/>
      <c r="V993" s="23"/>
      <c r="W993" s="23"/>
      <c r="X993" s="23"/>
      <c r="Y993" s="23"/>
      <c r="Z993" s="23"/>
      <c r="AA993" s="23"/>
      <c r="AB993" s="23"/>
    </row>
    <row r="994" spans="11:28" x14ac:dyDescent="0.2">
      <c r="K994" s="23"/>
      <c r="L994" s="23"/>
      <c r="M994" s="23"/>
      <c r="N994" s="23"/>
      <c r="O994" s="23"/>
      <c r="P994" s="23"/>
      <c r="Q994" s="23"/>
      <c r="R994" s="23"/>
      <c r="S994" s="23"/>
      <c r="T994" s="23"/>
      <c r="U994" s="23"/>
      <c r="V994" s="23"/>
      <c r="W994" s="23"/>
      <c r="X994" s="23"/>
      <c r="Y994" s="23"/>
      <c r="Z994" s="23"/>
      <c r="AA994" s="23"/>
      <c r="AB994" s="23"/>
    </row>
    <row r="995" spans="11:28" x14ac:dyDescent="0.2">
      <c r="K995" s="23"/>
      <c r="L995" s="23"/>
      <c r="M995" s="23"/>
      <c r="N995" s="23"/>
      <c r="O995" s="23"/>
      <c r="P995" s="23"/>
      <c r="Q995" s="23"/>
      <c r="R995" s="23"/>
      <c r="S995" s="23"/>
      <c r="T995" s="23"/>
      <c r="U995" s="23"/>
      <c r="V995" s="23"/>
      <c r="W995" s="23"/>
      <c r="X995" s="23"/>
      <c r="Y995" s="23"/>
      <c r="Z995" s="23"/>
      <c r="AA995" s="23"/>
      <c r="AB995" s="23"/>
    </row>
    <row r="996" spans="11:28" x14ac:dyDescent="0.2">
      <c r="K996" s="23"/>
      <c r="L996" s="23"/>
      <c r="M996" s="23"/>
      <c r="N996" s="23"/>
      <c r="O996" s="23"/>
      <c r="P996" s="23"/>
      <c r="Q996" s="23"/>
      <c r="R996" s="23"/>
      <c r="S996" s="23"/>
      <c r="T996" s="23"/>
      <c r="U996" s="23"/>
      <c r="V996" s="23"/>
      <c r="W996" s="23"/>
      <c r="X996" s="23"/>
      <c r="Y996" s="23"/>
      <c r="Z996" s="23"/>
      <c r="AA996" s="23"/>
      <c r="AB996" s="23"/>
    </row>
    <row r="997" spans="11:28" x14ac:dyDescent="0.2">
      <c r="K997" s="23"/>
      <c r="L997" s="23"/>
      <c r="M997" s="23"/>
      <c r="N997" s="23"/>
      <c r="O997" s="23"/>
      <c r="P997" s="23"/>
      <c r="Q997" s="23"/>
      <c r="R997" s="23"/>
      <c r="S997" s="23"/>
      <c r="T997" s="23"/>
      <c r="U997" s="23"/>
      <c r="V997" s="23"/>
      <c r="W997" s="23"/>
      <c r="X997" s="23"/>
      <c r="Y997" s="23"/>
      <c r="Z997" s="23"/>
      <c r="AA997" s="23"/>
      <c r="AB997" s="23"/>
    </row>
    <row r="998" spans="11:28" x14ac:dyDescent="0.2">
      <c r="K998" s="23"/>
      <c r="L998" s="23"/>
      <c r="M998" s="23"/>
      <c r="N998" s="23"/>
      <c r="O998" s="23"/>
      <c r="P998" s="23"/>
      <c r="Q998" s="23"/>
      <c r="R998" s="23"/>
      <c r="S998" s="23"/>
      <c r="T998" s="23"/>
      <c r="U998" s="23"/>
      <c r="V998" s="23"/>
      <c r="W998" s="23"/>
      <c r="X998" s="23"/>
      <c r="Y998" s="23"/>
      <c r="Z998" s="23"/>
      <c r="AA998" s="23"/>
      <c r="AB998" s="23"/>
    </row>
    <row r="999" spans="11:28" x14ac:dyDescent="0.2">
      <c r="K999" s="23"/>
      <c r="L999" s="23"/>
      <c r="M999" s="23"/>
      <c r="N999" s="23"/>
      <c r="O999" s="23"/>
      <c r="P999" s="23"/>
      <c r="Q999" s="23"/>
      <c r="R999" s="23"/>
      <c r="S999" s="23"/>
      <c r="T999" s="23"/>
      <c r="U999" s="23"/>
      <c r="V999" s="23"/>
      <c r="W999" s="23"/>
      <c r="X999" s="23"/>
      <c r="Y999" s="23"/>
      <c r="Z999" s="23"/>
      <c r="AA999" s="23"/>
      <c r="AB999" s="23"/>
    </row>
    <row r="1000" spans="11:28" x14ac:dyDescent="0.2">
      <c r="K1000" s="23"/>
      <c r="L1000" s="23"/>
      <c r="M1000" s="23"/>
      <c r="N1000" s="23"/>
      <c r="O1000" s="23"/>
      <c r="P1000" s="23"/>
      <c r="Q1000" s="23"/>
      <c r="R1000" s="23"/>
      <c r="S1000" s="23"/>
      <c r="T1000" s="23"/>
      <c r="U1000" s="23"/>
      <c r="V1000" s="23"/>
      <c r="W1000" s="23"/>
      <c r="X1000" s="23"/>
      <c r="Y1000" s="23"/>
      <c r="Z1000" s="23"/>
      <c r="AA1000" s="23"/>
      <c r="AB1000" s="23"/>
    </row>
    <row r="1001" spans="11:28" x14ac:dyDescent="0.2">
      <c r="K1001" s="23"/>
      <c r="L1001" s="23"/>
      <c r="M1001" s="23"/>
      <c r="N1001" s="23"/>
      <c r="O1001" s="23"/>
      <c r="P1001" s="23"/>
      <c r="Q1001" s="23"/>
      <c r="R1001" s="23"/>
      <c r="S1001" s="23"/>
      <c r="T1001" s="23"/>
      <c r="U1001" s="23"/>
      <c r="V1001" s="23"/>
      <c r="W1001" s="23"/>
      <c r="X1001" s="23"/>
      <c r="Y1001" s="23"/>
      <c r="Z1001" s="23"/>
      <c r="AA1001" s="23"/>
      <c r="AB1001" s="23"/>
    </row>
    <row r="1002" spans="11:28" x14ac:dyDescent="0.2">
      <c r="K1002" s="23"/>
      <c r="L1002" s="23"/>
      <c r="M1002" s="23"/>
      <c r="N1002" s="23"/>
      <c r="O1002" s="23"/>
      <c r="P1002" s="23"/>
      <c r="Q1002" s="23"/>
      <c r="R1002" s="23"/>
      <c r="S1002" s="23"/>
      <c r="T1002" s="23"/>
      <c r="U1002" s="23"/>
      <c r="V1002" s="23"/>
      <c r="W1002" s="23"/>
      <c r="X1002" s="23"/>
      <c r="Y1002" s="23"/>
      <c r="Z1002" s="23"/>
      <c r="AA1002" s="23"/>
      <c r="AB1002" s="23"/>
    </row>
  </sheetData>
  <sheetProtection algorithmName="SHA-512" hashValue="ArOtr0tX0b7Jl607DJ3bofarGzQXE4pYdrlGslD1HAnlOe7ta2Bk9Jp575/YolfCHRie6FOzatkVfesC3dSLBg==" saltValue="87kx4HP6l5IE/v0D/AmFXw==" spinCount="100000" sheet="1" objects="1" scenarios="1"/>
  <mergeCells count="25">
    <mergeCell ref="E1:I1"/>
    <mergeCell ref="B169:D169"/>
    <mergeCell ref="B186:D186"/>
    <mergeCell ref="A286:E286"/>
    <mergeCell ref="B98:D98"/>
    <mergeCell ref="B108:D108"/>
    <mergeCell ref="E2:I2"/>
    <mergeCell ref="E3:I3"/>
    <mergeCell ref="E4:I4"/>
    <mergeCell ref="E5:I5"/>
    <mergeCell ref="H286:J286"/>
    <mergeCell ref="E6:I6"/>
    <mergeCell ref="A31:D31"/>
    <mergeCell ref="A88:D88"/>
    <mergeCell ref="A32:D32"/>
    <mergeCell ref="E319:G319"/>
    <mergeCell ref="B178:D178"/>
    <mergeCell ref="A80:D80"/>
    <mergeCell ref="B168:D168"/>
    <mergeCell ref="A81:D81"/>
    <mergeCell ref="A87:D87"/>
    <mergeCell ref="B162:D162"/>
    <mergeCell ref="B161:D161"/>
    <mergeCell ref="B177:D177"/>
    <mergeCell ref="B185:D185"/>
  </mergeCells>
  <phoneticPr fontId="12" type="noConversion"/>
  <dataValidations xWindow="574" yWindow="197" count="12">
    <dataValidation type="whole" allowBlank="1" showErrorMessage="1" error="Enter whole number." sqref="H154:I155 H151:H152 H68:I68 H116:I116 H198:I198 H201:H206 I207 H208 H211:H220 I221 H222 H225:I225 H236:I238 H241:I242 I265:I267 H272 I271:I274 H274 H276:I277 H279:I280 H283:I283 H193:I193 I56:I57 H56 H58 I41 H42 H39:H40 I168:I171 H34 I33 H60 I59:I60 H62:I63 H65:I65 H144:I148 H46:H53 H120 H140:H142 I139:I142 H28:H32 H136:H138 H135:I135 I132 H131 H126:H129 H102:I102 I184:I188 H92:I93 I89 H86:H88 I82 H75:H81 H71:H72 H66 H159:H171 I159 I163:I166 H175:H188 I175 I179:I182 I262:I263 H249:H267" xr:uid="{00000000-0002-0000-0600-000000000000}">
      <formula1>-1000000000000000</formula1>
      <formula2>1000000000000000</formula2>
    </dataValidation>
    <dataValidation allowBlank="1" showErrorMessage="1" prompt="_x000a__x000a_" sqref="H273 H271" xr:uid="{00000000-0002-0000-0600-000001000000}"/>
    <dataValidation type="whole" allowBlank="1" showInputMessage="1" showErrorMessage="1" error="Enter whole dollar amount." sqref="H269 H207 H59 H139" xr:uid="{00000000-0002-0000-0600-000002000000}">
      <formula1>-10000000000000000000</formula1>
      <formula2>10000000000000000000</formula2>
    </dataValidation>
    <dataValidation type="whole" allowBlank="1" showErrorMessage="1" prompt="_x000a_" sqref="H221" xr:uid="{00000000-0002-0000-0600-000003000000}">
      <formula1>-10000000000000000000</formula1>
      <formula2>10000000000000000000</formula2>
    </dataValidation>
    <dataValidation allowBlank="1" showErrorMessage="1" error="Enter whole number." sqref="H153 H54:I54" xr:uid="{00000000-0002-0000-0600-000004000000}"/>
    <dataValidation allowBlank="1" showInputMessage="1" showErrorMessage="1" error="Enter whole number." sqref="A154:E155" xr:uid="{00000000-0002-0000-0600-000005000000}"/>
    <dataValidation type="whole" allowBlank="1" showInputMessage="1" showErrorMessage="1" error="Enter whole number." sqref="H130 H125 H132" xr:uid="{00000000-0002-0000-0600-000006000000}">
      <formula1>-10000000000000000000</formula1>
      <formula2>10000000000000000000</formula2>
    </dataValidation>
    <dataValidation allowBlank="1" showErrorMessage="1" prompt="_x000a_" sqref="H89 H41 H82" xr:uid="{00000000-0002-0000-0600-000007000000}"/>
    <dataValidation type="whole" allowBlank="1" showInputMessage="1" showErrorMessage="1" sqref="H57" xr:uid="{00000000-0002-0000-0600-000008000000}">
      <formula1>-10000000000000000000</formula1>
      <formula2>10000000000000000000</formula2>
    </dataValidation>
    <dataValidation type="whole" allowBlank="1" showErrorMessage="1" error="Enter whole number." sqref="H38" xr:uid="{00000000-0002-0000-0600-000009000000}">
      <formula1>-10000000000000000000</formula1>
      <formula2>10000000000000000000</formula2>
    </dataValidation>
    <dataValidation allowBlank="1" showErrorMessage="1" error="_x000a_" prompt="_x000a_" sqref="H33" xr:uid="{00000000-0002-0000-0600-00000A000000}"/>
    <dataValidation type="whole" allowBlank="1" showInputMessage="1" showErrorMessage="1" error="Enter a 3-digit agency control number." sqref="E1:I1" xr:uid="{00000000-0002-0000-0600-00000B000000}">
      <formula1>100</formula1>
      <formula2>999</formula2>
    </dataValidation>
  </dataValidations>
  <pageMargins left="0.7" right="0.5" top="0.82" bottom="0.5" header="0.38" footer="0.17"/>
  <pageSetup scale="62" fitToHeight="0" orientation="portrait" cellComments="asDisplayed" r:id="rId1"/>
  <headerFooter alignWithMargins="0">
    <oddHeader>&amp;C&amp;"Arial,Bold"&amp;11Attachment HE-10
Financial Statement Template
&amp;A</oddHeader>
    <oddFooter>&amp;L&amp;"Arial,Regular"&amp;F \ &amp;A&amp;R&amp;"Arial,Regular"Page &amp;P</oddFooter>
  </headerFooter>
  <rowBreaks count="4" manualBreakCount="4">
    <brk id="83" max="16383" man="1"/>
    <brk id="122" max="16383" man="1"/>
    <brk id="196" max="16383" man="1"/>
    <brk id="232" max="1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38"/>
  <sheetViews>
    <sheetView showGridLines="0" zoomScale="90" zoomScaleNormal="90" workbookViewId="0"/>
  </sheetViews>
  <sheetFormatPr defaultColWidth="9.33203125" defaultRowHeight="12.75" x14ac:dyDescent="0.2"/>
  <cols>
    <col min="1" max="1" width="6.33203125" style="508" customWidth="1"/>
    <col min="2" max="2" width="35.6640625" style="896" customWidth="1"/>
    <col min="3" max="3" width="18.83203125" style="493" customWidth="1"/>
    <col min="4" max="4" width="13.33203125" style="500" customWidth="1"/>
    <col min="5" max="5" width="14.6640625" style="266" customWidth="1"/>
    <col min="6" max="6" width="60.33203125" style="508" customWidth="1"/>
    <col min="7" max="16384" width="9.33203125" style="508"/>
  </cols>
  <sheetData>
    <row r="1" spans="1:10" x14ac:dyDescent="0.2">
      <c r="A1" s="824" t="s">
        <v>1155</v>
      </c>
      <c r="C1" s="1222">
        <f>FST!E1</f>
        <v>0</v>
      </c>
      <c r="D1" s="1223"/>
      <c r="E1" s="1223"/>
      <c r="F1" s="1224"/>
    </row>
    <row r="2" spans="1:10" ht="39" customHeight="1" x14ac:dyDescent="0.2">
      <c r="A2" s="824" t="s">
        <v>770</v>
      </c>
      <c r="C2" s="1231" t="str">
        <f>FST!E2</f>
        <v/>
      </c>
      <c r="D2" s="1232"/>
      <c r="E2" s="1232"/>
      <c r="F2" s="1233"/>
    </row>
    <row r="3" spans="1:10" x14ac:dyDescent="0.2">
      <c r="A3" s="824" t="s">
        <v>771</v>
      </c>
      <c r="C3" s="1234">
        <f>FST!E3</f>
        <v>0</v>
      </c>
      <c r="D3" s="1235"/>
      <c r="E3" s="1235"/>
      <c r="F3" s="1236"/>
    </row>
    <row r="4" spans="1:10" x14ac:dyDescent="0.2">
      <c r="A4" s="824" t="s">
        <v>773</v>
      </c>
      <c r="C4" s="1237">
        <f>FST!E4</f>
        <v>0</v>
      </c>
      <c r="D4" s="1238"/>
      <c r="E4" s="1238"/>
      <c r="F4" s="1239"/>
    </row>
    <row r="5" spans="1:10" x14ac:dyDescent="0.2">
      <c r="A5" s="825" t="s">
        <v>774</v>
      </c>
      <c r="C5" s="1234">
        <f>FST!E5</f>
        <v>0</v>
      </c>
      <c r="D5" s="1235"/>
      <c r="E5" s="1235"/>
      <c r="F5" s="1236"/>
    </row>
    <row r="6" spans="1:10" x14ac:dyDescent="0.2">
      <c r="A6" s="826" t="s">
        <v>775</v>
      </c>
      <c r="C6" s="1225">
        <f>FST!E6</f>
        <v>0</v>
      </c>
      <c r="D6" s="1226"/>
      <c r="E6" s="1226"/>
      <c r="F6" s="1227"/>
    </row>
    <row r="7" spans="1:10" x14ac:dyDescent="0.2">
      <c r="A7" s="1" t="s">
        <v>1731</v>
      </c>
      <c r="E7" s="487"/>
    </row>
    <row r="8" spans="1:10" x14ac:dyDescent="0.2">
      <c r="B8" s="488"/>
      <c r="E8" s="487"/>
    </row>
    <row r="9" spans="1:10" x14ac:dyDescent="0.2">
      <c r="B9" s="33" t="s">
        <v>449</v>
      </c>
      <c r="C9" s="494"/>
      <c r="D9" s="501"/>
      <c r="E9" s="497"/>
      <c r="F9" s="64"/>
      <c r="G9" s="64"/>
      <c r="H9" s="64"/>
      <c r="I9" s="64"/>
      <c r="J9" s="64"/>
    </row>
    <row r="10" spans="1:10" ht="4.5" customHeight="1" x14ac:dyDescent="0.2">
      <c r="B10" s="211"/>
    </row>
    <row r="11" spans="1:10" ht="18" customHeight="1" x14ac:dyDescent="0.2">
      <c r="B11" s="211" t="s">
        <v>868</v>
      </c>
    </row>
    <row r="12" spans="1:10" ht="64.5" customHeight="1" x14ac:dyDescent="0.2">
      <c r="B12" s="489"/>
      <c r="E12" s="487"/>
    </row>
    <row r="13" spans="1:10" x14ac:dyDescent="0.2">
      <c r="B13" s="69"/>
      <c r="E13" s="383"/>
    </row>
    <row r="14" spans="1:10" x14ac:dyDescent="0.2">
      <c r="B14" s="69"/>
      <c r="C14" s="1228" t="s">
        <v>636</v>
      </c>
      <c r="D14" s="1229"/>
      <c r="E14" s="1230"/>
    </row>
    <row r="15" spans="1:10" ht="99.75" customHeight="1" x14ac:dyDescent="0.2">
      <c r="A15" s="678" t="s">
        <v>869</v>
      </c>
      <c r="B15" s="490" t="s">
        <v>423</v>
      </c>
      <c r="C15" s="491" t="s">
        <v>17</v>
      </c>
      <c r="D15" s="507" t="s">
        <v>18</v>
      </c>
      <c r="E15" s="492" t="s">
        <v>433</v>
      </c>
      <c r="F15" s="708" t="s">
        <v>1246</v>
      </c>
    </row>
    <row r="16" spans="1:10" x14ac:dyDescent="0.2">
      <c r="A16" s="509" t="s">
        <v>870</v>
      </c>
      <c r="B16" s="504" t="s">
        <v>480</v>
      </c>
      <c r="C16" s="495" t="e">
        <f>FST!L35</f>
        <v>#N/A</v>
      </c>
      <c r="D16" s="496" t="e">
        <f>FST!M35</f>
        <v>#N/A</v>
      </c>
      <c r="E16" s="498" t="e">
        <f>FST!N35</f>
        <v>#N/A</v>
      </c>
      <c r="F16" s="680"/>
    </row>
    <row r="17" spans="1:6" x14ac:dyDescent="0.2">
      <c r="A17" s="509" t="s">
        <v>870</v>
      </c>
      <c r="B17" s="504" t="s">
        <v>387</v>
      </c>
      <c r="C17" s="495" t="e">
        <f>FST!L43</f>
        <v>#N/A</v>
      </c>
      <c r="D17" s="496" t="e">
        <f>FST!M43</f>
        <v>#N/A</v>
      </c>
      <c r="E17" s="498" t="e">
        <f>FST!N43</f>
        <v>#N/A</v>
      </c>
      <c r="F17" s="680"/>
    </row>
    <row r="18" spans="1:6" ht="24" x14ac:dyDescent="0.2">
      <c r="A18" s="509" t="s">
        <v>870</v>
      </c>
      <c r="B18" s="504" t="s">
        <v>304</v>
      </c>
      <c r="C18" s="495" t="e">
        <f>FST!L46</f>
        <v>#N/A</v>
      </c>
      <c r="D18" s="496" t="e">
        <f>FST!M46</f>
        <v>#N/A</v>
      </c>
      <c r="E18" s="498" t="e">
        <f>FST!N46</f>
        <v>#N/A</v>
      </c>
      <c r="F18" s="680"/>
    </row>
    <row r="19" spans="1:6" x14ac:dyDescent="0.2">
      <c r="A19" s="509" t="s">
        <v>870</v>
      </c>
      <c r="B19" s="504" t="s">
        <v>305</v>
      </c>
      <c r="C19" s="495" t="e">
        <f>FST!L47</f>
        <v>#N/A</v>
      </c>
      <c r="D19" s="496" t="e">
        <f>FST!M47</f>
        <v>#N/A</v>
      </c>
      <c r="E19" s="498" t="e">
        <f>FST!N47</f>
        <v>#N/A</v>
      </c>
      <c r="F19" s="680"/>
    </row>
    <row r="20" spans="1:6" x14ac:dyDescent="0.2">
      <c r="A20" s="509" t="s">
        <v>870</v>
      </c>
      <c r="B20" s="679" t="s">
        <v>993</v>
      </c>
      <c r="C20" s="495" t="e">
        <f>FST!L48</f>
        <v>#N/A</v>
      </c>
      <c r="D20" s="496" t="e">
        <f>FST!M48</f>
        <v>#N/A</v>
      </c>
      <c r="E20" s="498" t="e">
        <f>FST!N48</f>
        <v>#N/A</v>
      </c>
      <c r="F20" s="680"/>
    </row>
    <row r="21" spans="1:6" ht="24" x14ac:dyDescent="0.2">
      <c r="A21" s="509" t="s">
        <v>870</v>
      </c>
      <c r="B21" s="504" t="s">
        <v>306</v>
      </c>
      <c r="C21" s="495" t="e">
        <f>FST!L50</f>
        <v>#N/A</v>
      </c>
      <c r="D21" s="496" t="e">
        <f>FST!M50</f>
        <v>#N/A</v>
      </c>
      <c r="E21" s="498" t="e">
        <f>FST!N50</f>
        <v>#N/A</v>
      </c>
      <c r="F21" s="680"/>
    </row>
    <row r="22" spans="1:6" ht="24" x14ac:dyDescent="0.2">
      <c r="A22" s="509" t="s">
        <v>870</v>
      </c>
      <c r="B22" s="504" t="s">
        <v>307</v>
      </c>
      <c r="C22" s="495" t="e">
        <f>FST!L51</f>
        <v>#N/A</v>
      </c>
      <c r="D22" s="496" t="e">
        <f>FST!M51</f>
        <v>#N/A</v>
      </c>
      <c r="E22" s="498" t="e">
        <f>FST!N51</f>
        <v>#N/A</v>
      </c>
      <c r="F22" s="680"/>
    </row>
    <row r="23" spans="1:6" ht="24" x14ac:dyDescent="0.2">
      <c r="A23" s="509" t="s">
        <v>870</v>
      </c>
      <c r="B23" s="504" t="s">
        <v>308</v>
      </c>
      <c r="C23" s="495" t="e">
        <f>FST!L52</f>
        <v>#N/A</v>
      </c>
      <c r="D23" s="496" t="e">
        <f>FST!M52</f>
        <v>#N/A</v>
      </c>
      <c r="E23" s="498" t="e">
        <f>FST!N52</f>
        <v>#N/A</v>
      </c>
      <c r="F23" s="680"/>
    </row>
    <row r="24" spans="1:6" ht="24" x14ac:dyDescent="0.2">
      <c r="A24" s="509" t="s">
        <v>870</v>
      </c>
      <c r="B24" s="504" t="s">
        <v>309</v>
      </c>
      <c r="C24" s="495" t="e">
        <f>FST!L53</f>
        <v>#N/A</v>
      </c>
      <c r="D24" s="496" t="e">
        <f>FST!M53</f>
        <v>#N/A</v>
      </c>
      <c r="E24" s="498" t="e">
        <f>FST!N53</f>
        <v>#N/A</v>
      </c>
      <c r="F24" s="680"/>
    </row>
    <row r="25" spans="1:6" x14ac:dyDescent="0.2">
      <c r="A25" s="509" t="s">
        <v>870</v>
      </c>
      <c r="B25" s="504" t="s">
        <v>765</v>
      </c>
      <c r="C25" s="495" t="e">
        <f>FST!L56</f>
        <v>#N/A</v>
      </c>
      <c r="D25" s="496" t="e">
        <f>FST!M56</f>
        <v>#N/A</v>
      </c>
      <c r="E25" s="498" t="e">
        <f>FST!N56</f>
        <v>#N/A</v>
      </c>
      <c r="F25" s="680"/>
    </row>
    <row r="26" spans="1:6" x14ac:dyDescent="0.2">
      <c r="A26" s="509" t="s">
        <v>870</v>
      </c>
      <c r="B26" s="504" t="s">
        <v>91</v>
      </c>
      <c r="C26" s="495" t="e">
        <f>FST!L58</f>
        <v>#N/A</v>
      </c>
      <c r="D26" s="496" t="e">
        <f>FST!M58</f>
        <v>#N/A</v>
      </c>
      <c r="E26" s="498" t="e">
        <f>FST!N58</f>
        <v>#N/A</v>
      </c>
      <c r="F26" s="680"/>
    </row>
    <row r="27" spans="1:6" x14ac:dyDescent="0.2">
      <c r="A27" s="509" t="s">
        <v>870</v>
      </c>
      <c r="B27" s="504" t="s">
        <v>461</v>
      </c>
      <c r="C27" s="495" t="e">
        <f>FST!L60</f>
        <v>#N/A</v>
      </c>
      <c r="D27" s="496" t="e">
        <f>FST!M60</f>
        <v>#N/A</v>
      </c>
      <c r="E27" s="498" t="e">
        <f>FST!N60</f>
        <v>#N/A</v>
      </c>
      <c r="F27" s="680"/>
    </row>
    <row r="28" spans="1:6" x14ac:dyDescent="0.2">
      <c r="A28" s="509" t="s">
        <v>870</v>
      </c>
      <c r="B28" s="504" t="s">
        <v>766</v>
      </c>
      <c r="C28" s="495" t="e">
        <f>FST!L62</f>
        <v>#N/A</v>
      </c>
      <c r="D28" s="496" t="e">
        <f>FST!M62</f>
        <v>#N/A</v>
      </c>
      <c r="E28" s="498" t="e">
        <f>FST!N62</f>
        <v>#N/A</v>
      </c>
      <c r="F28" s="680"/>
    </row>
    <row r="29" spans="1:6" x14ac:dyDescent="0.2">
      <c r="A29" s="509" t="s">
        <v>870</v>
      </c>
      <c r="B29" s="504" t="s">
        <v>483</v>
      </c>
      <c r="C29" s="495" t="e">
        <f>FST!L63</f>
        <v>#N/A</v>
      </c>
      <c r="D29" s="496" t="e">
        <f>FST!M63</f>
        <v>#N/A</v>
      </c>
      <c r="E29" s="498" t="e">
        <f>FST!N63</f>
        <v>#N/A</v>
      </c>
      <c r="F29" s="680"/>
    </row>
    <row r="30" spans="1:6" x14ac:dyDescent="0.2">
      <c r="A30" s="509" t="s">
        <v>870</v>
      </c>
      <c r="B30" s="504" t="s">
        <v>78</v>
      </c>
      <c r="C30" s="495" t="e">
        <f>FST!L65</f>
        <v>#N/A</v>
      </c>
      <c r="D30" s="496" t="e">
        <f>FST!M65</f>
        <v>#N/A</v>
      </c>
      <c r="E30" s="498" t="e">
        <f>FST!N65</f>
        <v>#N/A</v>
      </c>
      <c r="F30" s="680"/>
    </row>
    <row r="31" spans="1:6" x14ac:dyDescent="0.2">
      <c r="A31" s="509" t="s">
        <v>870</v>
      </c>
      <c r="B31" s="679" t="s">
        <v>1313</v>
      </c>
      <c r="C31" s="495" t="e">
        <f>FST!L66</f>
        <v>#N/A</v>
      </c>
      <c r="D31" s="496" t="e">
        <f>FST!M66</f>
        <v>#N/A</v>
      </c>
      <c r="E31" s="498" t="e">
        <f>FST!N66</f>
        <v>#N/A</v>
      </c>
      <c r="F31" s="680"/>
    </row>
    <row r="32" spans="1:6" x14ac:dyDescent="0.2">
      <c r="A32" s="509" t="s">
        <v>870</v>
      </c>
      <c r="B32" s="504" t="s">
        <v>485</v>
      </c>
      <c r="C32" s="495" t="e">
        <f>FST!L68</f>
        <v>#N/A</v>
      </c>
      <c r="D32" s="496" t="e">
        <f>FST!M68</f>
        <v>#N/A</v>
      </c>
      <c r="E32" s="498" t="e">
        <f>FST!N68</f>
        <v>#N/A</v>
      </c>
      <c r="F32" s="680"/>
    </row>
    <row r="33" spans="1:6" ht="24" x14ac:dyDescent="0.2">
      <c r="A33" s="509" t="s">
        <v>870</v>
      </c>
      <c r="B33" s="504" t="s">
        <v>349</v>
      </c>
      <c r="C33" s="495" t="e">
        <f>FST!L71</f>
        <v>#N/A</v>
      </c>
      <c r="D33" s="496" t="e">
        <f>FST!M71</f>
        <v>#N/A</v>
      </c>
      <c r="E33" s="498" t="e">
        <f>FST!N71</f>
        <v>#N/A</v>
      </c>
      <c r="F33" s="680"/>
    </row>
    <row r="34" spans="1:6" ht="24" x14ac:dyDescent="0.2">
      <c r="A34" s="509" t="s">
        <v>870</v>
      </c>
      <c r="B34" s="504" t="s">
        <v>350</v>
      </c>
      <c r="C34" s="495" t="e">
        <f>FST!L72</f>
        <v>#N/A</v>
      </c>
      <c r="D34" s="496" t="e">
        <f>FST!M72</f>
        <v>#N/A</v>
      </c>
      <c r="E34" s="498" t="e">
        <f>FST!N72</f>
        <v>#N/A</v>
      </c>
      <c r="F34" s="680"/>
    </row>
    <row r="35" spans="1:6" ht="24" x14ac:dyDescent="0.2">
      <c r="A35" s="509" t="s">
        <v>870</v>
      </c>
      <c r="B35" s="504" t="s">
        <v>388</v>
      </c>
      <c r="C35" s="495" t="e">
        <f>FST!L83</f>
        <v>#N/A</v>
      </c>
      <c r="D35" s="496" t="e">
        <f>FST!M83</f>
        <v>#N/A</v>
      </c>
      <c r="E35" s="498" t="e">
        <f>FST!N83</f>
        <v>#N/A</v>
      </c>
      <c r="F35" s="680"/>
    </row>
    <row r="36" spans="1:6" x14ac:dyDescent="0.2">
      <c r="A36" s="509" t="s">
        <v>870</v>
      </c>
      <c r="B36" s="504" t="s">
        <v>389</v>
      </c>
      <c r="C36" s="495" t="e">
        <f>FST!L90</f>
        <v>#N/A</v>
      </c>
      <c r="D36" s="496" t="e">
        <f>FST!M90</f>
        <v>#N/A</v>
      </c>
      <c r="E36" s="498" t="e">
        <f>FST!N90</f>
        <v>#N/A</v>
      </c>
      <c r="F36" s="680"/>
    </row>
    <row r="37" spans="1:6" x14ac:dyDescent="0.2">
      <c r="A37" s="1014" t="s">
        <v>870</v>
      </c>
      <c r="B37" s="679" t="s">
        <v>1718</v>
      </c>
      <c r="C37" s="495" t="e">
        <f>FST!L91</f>
        <v>#N/A</v>
      </c>
      <c r="D37" s="496" t="e">
        <f>FST!M91</f>
        <v>#N/A</v>
      </c>
      <c r="E37" s="498" t="e">
        <f>FST!N91</f>
        <v>#N/A</v>
      </c>
      <c r="F37" s="680"/>
    </row>
    <row r="38" spans="1:6" x14ac:dyDescent="0.2">
      <c r="A38" s="509" t="s">
        <v>870</v>
      </c>
      <c r="B38" s="504" t="s">
        <v>190</v>
      </c>
      <c r="C38" s="495" t="e">
        <f>FST!L92</f>
        <v>#N/A</v>
      </c>
      <c r="D38" s="496" t="e">
        <f>FST!M92</f>
        <v>#N/A</v>
      </c>
      <c r="E38" s="498" t="e">
        <f>FST!N92</f>
        <v>#N/A</v>
      </c>
      <c r="F38" s="680"/>
    </row>
    <row r="39" spans="1:6" x14ac:dyDescent="0.2">
      <c r="A39" s="509" t="s">
        <v>870</v>
      </c>
      <c r="B39" s="679" t="s">
        <v>1433</v>
      </c>
      <c r="C39" s="495" t="e">
        <f>FST!L101</f>
        <v>#N/A</v>
      </c>
      <c r="D39" s="496" t="e">
        <f>FST!M101</f>
        <v>#N/A</v>
      </c>
      <c r="E39" s="498" t="e">
        <f>FST!N101</f>
        <v>#N/A</v>
      </c>
      <c r="F39" s="680"/>
    </row>
    <row r="40" spans="1:6" x14ac:dyDescent="0.2">
      <c r="A40" s="509" t="s">
        <v>870</v>
      </c>
      <c r="B40" s="679" t="s">
        <v>1435</v>
      </c>
      <c r="C40" s="495" t="e">
        <f>FST!L115</f>
        <v>#N/A</v>
      </c>
      <c r="D40" s="496" t="e">
        <f>FST!M115</f>
        <v>#N/A</v>
      </c>
      <c r="E40" s="1013" t="e">
        <f>FST!N115</f>
        <v>#N/A</v>
      </c>
      <c r="F40" s="680"/>
    </row>
    <row r="41" spans="1:6" x14ac:dyDescent="0.2">
      <c r="A41" s="509" t="s">
        <v>870</v>
      </c>
      <c r="B41" s="679" t="s">
        <v>850</v>
      </c>
      <c r="C41" s="495" t="e">
        <f>FST!L119</f>
        <v>#N/A</v>
      </c>
      <c r="D41" s="496" t="e">
        <f>FST!M119</f>
        <v>#N/A</v>
      </c>
      <c r="E41" s="498" t="e">
        <f>FST!N119</f>
        <v>#N/A</v>
      </c>
      <c r="F41" s="680"/>
    </row>
    <row r="42" spans="1:6" ht="24" x14ac:dyDescent="0.2">
      <c r="A42" s="509" t="s">
        <v>870</v>
      </c>
      <c r="B42" s="504" t="s">
        <v>753</v>
      </c>
      <c r="C42" s="495" t="e">
        <f>FST!L125</f>
        <v>#N/A</v>
      </c>
      <c r="D42" s="496" t="e">
        <f>FST!M125</f>
        <v>#N/A</v>
      </c>
      <c r="E42" s="498" t="e">
        <f>FST!N125</f>
        <v>#N/A</v>
      </c>
      <c r="F42" s="680"/>
    </row>
    <row r="43" spans="1:6" x14ac:dyDescent="0.2">
      <c r="A43" s="509" t="s">
        <v>870</v>
      </c>
      <c r="B43" s="504" t="s">
        <v>475</v>
      </c>
      <c r="C43" s="495" t="e">
        <f>FST!L126</f>
        <v>#N/A</v>
      </c>
      <c r="D43" s="496" t="e">
        <f>FST!M126</f>
        <v>#N/A</v>
      </c>
      <c r="E43" s="498" t="e">
        <f>FST!N126</f>
        <v>#N/A</v>
      </c>
      <c r="F43" s="680"/>
    </row>
    <row r="44" spans="1:6" ht="24" x14ac:dyDescent="0.2">
      <c r="A44" s="509" t="s">
        <v>870</v>
      </c>
      <c r="B44" s="504" t="s">
        <v>476</v>
      </c>
      <c r="C44" s="495" t="e">
        <f>FST!L127</f>
        <v>#N/A</v>
      </c>
      <c r="D44" s="496" t="e">
        <f>FST!M127</f>
        <v>#N/A</v>
      </c>
      <c r="E44" s="498" t="e">
        <f>FST!N127</f>
        <v>#N/A</v>
      </c>
      <c r="F44" s="680"/>
    </row>
    <row r="45" spans="1:6" x14ac:dyDescent="0.2">
      <c r="A45" s="509" t="s">
        <v>870</v>
      </c>
      <c r="B45" s="504" t="s">
        <v>477</v>
      </c>
      <c r="C45" s="495" t="e">
        <f>FST!L128</f>
        <v>#N/A</v>
      </c>
      <c r="D45" s="496" t="e">
        <f>FST!M128</f>
        <v>#N/A</v>
      </c>
      <c r="E45" s="498" t="e">
        <f>FST!N128</f>
        <v>#N/A</v>
      </c>
      <c r="F45" s="680"/>
    </row>
    <row r="46" spans="1:6" ht="24" x14ac:dyDescent="0.2">
      <c r="A46" s="509" t="s">
        <v>870</v>
      </c>
      <c r="B46" s="504" t="s">
        <v>599</v>
      </c>
      <c r="C46" s="495" t="e">
        <f>FST!L130</f>
        <v>#N/A</v>
      </c>
      <c r="D46" s="496" t="e">
        <f>FST!M130</f>
        <v>#N/A</v>
      </c>
      <c r="E46" s="498" t="e">
        <f>FST!N130</f>
        <v>#N/A</v>
      </c>
      <c r="F46" s="680"/>
    </row>
    <row r="47" spans="1:6" ht="24" x14ac:dyDescent="0.2">
      <c r="A47" s="509" t="s">
        <v>870</v>
      </c>
      <c r="B47" s="504" t="s">
        <v>79</v>
      </c>
      <c r="C47" s="495" t="e">
        <f>FST!L134</f>
        <v>#N/A</v>
      </c>
      <c r="D47" s="496" t="e">
        <f>FST!M134</f>
        <v>#N/A</v>
      </c>
      <c r="E47" s="498" t="e">
        <f>FST!N134</f>
        <v>#N/A</v>
      </c>
      <c r="F47" s="680"/>
    </row>
    <row r="48" spans="1:6" x14ac:dyDescent="0.2">
      <c r="A48" s="509" t="s">
        <v>870</v>
      </c>
      <c r="B48" s="504" t="s">
        <v>722</v>
      </c>
      <c r="C48" s="495" t="e">
        <f>FST!L135</f>
        <v>#N/A</v>
      </c>
      <c r="D48" s="496" t="e">
        <f>FST!M135</f>
        <v>#N/A</v>
      </c>
      <c r="E48" s="498" t="e">
        <f>FST!N135</f>
        <v>#N/A</v>
      </c>
      <c r="F48" s="680"/>
    </row>
    <row r="49" spans="1:6" ht="24" x14ac:dyDescent="0.2">
      <c r="A49" s="509" t="s">
        <v>870</v>
      </c>
      <c r="B49" s="679" t="s">
        <v>962</v>
      </c>
      <c r="C49" s="495" t="e">
        <f>FST!L136</f>
        <v>#N/A</v>
      </c>
      <c r="D49" s="496" t="e">
        <f>FST!M136</f>
        <v>#N/A</v>
      </c>
      <c r="E49" s="498" t="e">
        <f>FST!N136</f>
        <v>#N/A</v>
      </c>
      <c r="F49" s="680"/>
    </row>
    <row r="50" spans="1:6" x14ac:dyDescent="0.2">
      <c r="A50" s="509" t="s">
        <v>870</v>
      </c>
      <c r="B50" s="504" t="s">
        <v>723</v>
      </c>
      <c r="C50" s="495" t="e">
        <f>FST!L137</f>
        <v>#N/A</v>
      </c>
      <c r="D50" s="496" t="e">
        <f>FST!M137</f>
        <v>#N/A</v>
      </c>
      <c r="E50" s="498" t="e">
        <f>FST!N137</f>
        <v>#N/A</v>
      </c>
      <c r="F50" s="680"/>
    </row>
    <row r="51" spans="1:6" x14ac:dyDescent="0.2">
      <c r="A51" s="509" t="s">
        <v>870</v>
      </c>
      <c r="B51" s="504" t="s">
        <v>518</v>
      </c>
      <c r="C51" s="495" t="e">
        <f>FST!L139</f>
        <v>#N/A</v>
      </c>
      <c r="D51" s="496" t="e">
        <f>FST!M139</f>
        <v>#N/A</v>
      </c>
      <c r="E51" s="498" t="e">
        <f>FST!N139</f>
        <v>#N/A</v>
      </c>
      <c r="F51" s="680"/>
    </row>
    <row r="52" spans="1:6" x14ac:dyDescent="0.2">
      <c r="A52" s="509" t="s">
        <v>870</v>
      </c>
      <c r="B52" s="504" t="s">
        <v>216</v>
      </c>
      <c r="C52" s="495" t="e">
        <f>FST!L140</f>
        <v>#N/A</v>
      </c>
      <c r="D52" s="496" t="e">
        <f>FST!M140</f>
        <v>#N/A</v>
      </c>
      <c r="E52" s="498" t="e">
        <f>FST!N140</f>
        <v>#N/A</v>
      </c>
      <c r="F52" s="680"/>
    </row>
    <row r="53" spans="1:6" ht="24" x14ac:dyDescent="0.2">
      <c r="A53" s="509" t="s">
        <v>870</v>
      </c>
      <c r="B53" s="504" t="s">
        <v>234</v>
      </c>
      <c r="C53" s="495" t="e">
        <f>FST!L141</f>
        <v>#N/A</v>
      </c>
      <c r="D53" s="496" t="e">
        <f>FST!M141</f>
        <v>#N/A</v>
      </c>
      <c r="E53" s="498" t="e">
        <f>FST!N141</f>
        <v>#N/A</v>
      </c>
      <c r="F53" s="680"/>
    </row>
    <row r="54" spans="1:6" ht="24" x14ac:dyDescent="0.2">
      <c r="A54" s="509" t="s">
        <v>870</v>
      </c>
      <c r="B54" s="504" t="s">
        <v>478</v>
      </c>
      <c r="C54" s="495" t="e">
        <f>FST!L143</f>
        <v>#N/A</v>
      </c>
      <c r="D54" s="496" t="e">
        <f>FST!M143</f>
        <v>#N/A</v>
      </c>
      <c r="E54" s="498" t="e">
        <f>FST!N143</f>
        <v>#N/A</v>
      </c>
      <c r="F54" s="680"/>
    </row>
    <row r="55" spans="1:6" x14ac:dyDescent="0.2">
      <c r="A55" s="509" t="s">
        <v>870</v>
      </c>
      <c r="B55" s="504" t="s">
        <v>180</v>
      </c>
      <c r="C55" s="495" t="e">
        <f>FST!L144</f>
        <v>#N/A</v>
      </c>
      <c r="D55" s="496" t="e">
        <f>FST!M144</f>
        <v>#N/A</v>
      </c>
      <c r="E55" s="498" t="e">
        <f>FST!N144</f>
        <v>#N/A</v>
      </c>
      <c r="F55" s="680"/>
    </row>
    <row r="56" spans="1:6" ht="24" x14ac:dyDescent="0.2">
      <c r="A56" s="509" t="s">
        <v>870</v>
      </c>
      <c r="B56" s="504" t="s">
        <v>181</v>
      </c>
      <c r="C56" s="495" t="e">
        <f>FST!L145</f>
        <v>#N/A</v>
      </c>
      <c r="D56" s="496" t="e">
        <f>FST!M145</f>
        <v>#N/A</v>
      </c>
      <c r="E56" s="498" t="e">
        <f>FST!N145</f>
        <v>#N/A</v>
      </c>
      <c r="F56" s="680"/>
    </row>
    <row r="57" spans="1:6" ht="24" x14ac:dyDescent="0.2">
      <c r="A57" s="509" t="s">
        <v>870</v>
      </c>
      <c r="B57" s="679" t="s">
        <v>926</v>
      </c>
      <c r="C57" s="495" t="e">
        <f>FST!L146</f>
        <v>#N/A</v>
      </c>
      <c r="D57" s="496" t="e">
        <f>FST!M146</f>
        <v>#N/A</v>
      </c>
      <c r="E57" s="498" t="e">
        <f>FST!N146</f>
        <v>#N/A</v>
      </c>
      <c r="F57" s="680"/>
    </row>
    <row r="58" spans="1:6" x14ac:dyDescent="0.2">
      <c r="A58" s="509" t="s">
        <v>870</v>
      </c>
      <c r="B58" s="504" t="s">
        <v>182</v>
      </c>
      <c r="C58" s="495" t="e">
        <f>FST!L147</f>
        <v>#N/A</v>
      </c>
      <c r="D58" s="496" t="e">
        <f>FST!M147</f>
        <v>#N/A</v>
      </c>
      <c r="E58" s="498" t="e">
        <f>FST!N147</f>
        <v>#N/A</v>
      </c>
      <c r="F58" s="680"/>
    </row>
    <row r="59" spans="1:6" ht="24" x14ac:dyDescent="0.2">
      <c r="A59" s="509" t="s">
        <v>870</v>
      </c>
      <c r="B59" s="504" t="s">
        <v>183</v>
      </c>
      <c r="C59" s="495" t="e">
        <f>FST!L150</f>
        <v>#N/A</v>
      </c>
      <c r="D59" s="496" t="e">
        <f>FST!M150</f>
        <v>#N/A</v>
      </c>
      <c r="E59" s="498" t="e">
        <f>FST!N150</f>
        <v>#N/A</v>
      </c>
      <c r="F59" s="680"/>
    </row>
    <row r="60" spans="1:6" x14ac:dyDescent="0.2">
      <c r="A60" s="509" t="s">
        <v>870</v>
      </c>
      <c r="B60" s="504" t="s">
        <v>758</v>
      </c>
      <c r="C60" s="495" t="e">
        <f>FST!L151</f>
        <v>#N/A</v>
      </c>
      <c r="D60" s="496" t="e">
        <f>FST!M151</f>
        <v>#N/A</v>
      </c>
      <c r="E60" s="498" t="e">
        <f>FST!N151</f>
        <v>#N/A</v>
      </c>
      <c r="F60" s="680"/>
    </row>
    <row r="61" spans="1:6" ht="24" x14ac:dyDescent="0.2">
      <c r="A61" s="509" t="s">
        <v>870</v>
      </c>
      <c r="B61" s="504" t="s">
        <v>345</v>
      </c>
      <c r="C61" s="495" t="e">
        <f>FST!L153</f>
        <v>#N/A</v>
      </c>
      <c r="D61" s="496" t="e">
        <f>FST!M153</f>
        <v>#N/A</v>
      </c>
      <c r="E61" s="506" t="e">
        <f>FST!N153</f>
        <v>#N/A</v>
      </c>
      <c r="F61" s="680"/>
    </row>
    <row r="62" spans="1:6" ht="23.45" customHeight="1" x14ac:dyDescent="0.2">
      <c r="A62" s="509" t="s">
        <v>870</v>
      </c>
      <c r="B62" s="504" t="s">
        <v>346</v>
      </c>
      <c r="C62" s="495" t="e">
        <f>FST!L154</f>
        <v>#N/A</v>
      </c>
      <c r="D62" s="496" t="e">
        <f>FST!M154</f>
        <v>#N/A</v>
      </c>
      <c r="E62" s="506" t="e">
        <f>FST!N154</f>
        <v>#N/A</v>
      </c>
      <c r="F62" s="680"/>
    </row>
    <row r="63" spans="1:6" ht="24" x14ac:dyDescent="0.2">
      <c r="A63" s="509" t="s">
        <v>870</v>
      </c>
      <c r="B63" s="504" t="s">
        <v>331</v>
      </c>
      <c r="C63" s="495" t="e">
        <f>FST!L158</f>
        <v>#N/A</v>
      </c>
      <c r="D63" s="496" t="e">
        <f>FST!M158</f>
        <v>#N/A</v>
      </c>
      <c r="E63" s="506" t="e">
        <f>FST!N158</f>
        <v>#N/A</v>
      </c>
      <c r="F63" s="680"/>
    </row>
    <row r="64" spans="1:6" ht="36" x14ac:dyDescent="0.2">
      <c r="A64" s="509" t="s">
        <v>870</v>
      </c>
      <c r="B64" s="679" t="s">
        <v>1516</v>
      </c>
      <c r="C64" s="495" t="e">
        <f>FST!L159</f>
        <v>#N/A</v>
      </c>
      <c r="D64" s="496" t="e">
        <f>FST!M159</f>
        <v>#N/A</v>
      </c>
      <c r="E64" s="506" t="e">
        <f>FST!N159</f>
        <v>#N/A</v>
      </c>
      <c r="F64" s="680"/>
    </row>
    <row r="65" spans="1:6" ht="36" x14ac:dyDescent="0.2">
      <c r="A65" s="509" t="s">
        <v>870</v>
      </c>
      <c r="B65" s="679" t="s">
        <v>1657</v>
      </c>
      <c r="C65" s="495" t="e">
        <f>FST!L160</f>
        <v>#N/A</v>
      </c>
      <c r="D65" s="496" t="e">
        <f>FST!M160</f>
        <v>#N/A</v>
      </c>
      <c r="E65" s="506" t="e">
        <f>FST!N160</f>
        <v>#N/A</v>
      </c>
      <c r="F65" s="680"/>
    </row>
    <row r="66" spans="1:6" ht="49.5" customHeight="1" x14ac:dyDescent="0.2">
      <c r="A66" s="509" t="s">
        <v>870</v>
      </c>
      <c r="B66" s="679" t="s">
        <v>1573</v>
      </c>
      <c r="C66" s="495" t="e">
        <f>FST!L161</f>
        <v>#N/A</v>
      </c>
      <c r="D66" s="496" t="e">
        <f>FST!M161</f>
        <v>#N/A</v>
      </c>
      <c r="E66" s="506" t="e">
        <f>FST!N161</f>
        <v>#N/A</v>
      </c>
      <c r="F66" s="680"/>
    </row>
    <row r="67" spans="1:6" ht="24" x14ac:dyDescent="0.2">
      <c r="A67" s="509" t="s">
        <v>870</v>
      </c>
      <c r="B67" s="504" t="s">
        <v>332</v>
      </c>
      <c r="C67" s="495" t="e">
        <f>FST!L162</f>
        <v>#N/A</v>
      </c>
      <c r="D67" s="496" t="e">
        <f>FST!M162</f>
        <v>#N/A</v>
      </c>
      <c r="E67" s="506" t="e">
        <f>FST!N162</f>
        <v>#N/A</v>
      </c>
      <c r="F67" s="680"/>
    </row>
    <row r="68" spans="1:6" ht="24" x14ac:dyDescent="0.2">
      <c r="A68" s="509" t="s">
        <v>870</v>
      </c>
      <c r="B68" s="504" t="s">
        <v>649</v>
      </c>
      <c r="C68" s="495" t="e">
        <f>FST!L163</f>
        <v>#N/A</v>
      </c>
      <c r="D68" s="496" t="e">
        <f>FST!M163</f>
        <v>#N/A</v>
      </c>
      <c r="E68" s="506" t="e">
        <f>FST!N163</f>
        <v>#N/A</v>
      </c>
      <c r="F68" s="680"/>
    </row>
    <row r="69" spans="1:6" ht="24" x14ac:dyDescent="0.2">
      <c r="A69" s="509" t="s">
        <v>870</v>
      </c>
      <c r="B69" s="504" t="s">
        <v>650</v>
      </c>
      <c r="C69" s="495" t="e">
        <f>FST!L164</f>
        <v>#N/A</v>
      </c>
      <c r="D69" s="496" t="e">
        <f>FST!M164</f>
        <v>#N/A</v>
      </c>
      <c r="E69" s="506" t="e">
        <f>FST!N164</f>
        <v>#N/A</v>
      </c>
      <c r="F69" s="680"/>
    </row>
    <row r="70" spans="1:6" ht="28.15" customHeight="1" x14ac:dyDescent="0.2">
      <c r="A70" s="509" t="s">
        <v>870</v>
      </c>
      <c r="B70" s="679" t="s">
        <v>651</v>
      </c>
      <c r="C70" s="495" t="e">
        <f>FST!L165</f>
        <v>#N/A</v>
      </c>
      <c r="D70" s="496" t="e">
        <f>FST!M165</f>
        <v>#N/A</v>
      </c>
      <c r="E70" s="506" t="e">
        <f>FST!N165</f>
        <v>#N/A</v>
      </c>
      <c r="F70" s="680"/>
    </row>
    <row r="71" spans="1:6" ht="38.450000000000003" customHeight="1" x14ac:dyDescent="0.2">
      <c r="A71" s="509" t="s">
        <v>870</v>
      </c>
      <c r="B71" s="1015" t="s">
        <v>1655</v>
      </c>
      <c r="C71" s="495" t="e">
        <f>FST!L166</f>
        <v>#N/A</v>
      </c>
      <c r="D71" s="496" t="e">
        <f>FST!M166</f>
        <v>#N/A</v>
      </c>
      <c r="E71" s="506" t="e">
        <f>FST!N166</f>
        <v>#N/A</v>
      </c>
      <c r="F71" s="680"/>
    </row>
    <row r="72" spans="1:6" ht="38.450000000000003" customHeight="1" x14ac:dyDescent="0.2">
      <c r="A72" s="509" t="s">
        <v>870</v>
      </c>
      <c r="B72" s="679" t="s">
        <v>1376</v>
      </c>
      <c r="C72" s="495" t="e">
        <f>FST!L167</f>
        <v>#N/A</v>
      </c>
      <c r="D72" s="496" t="e">
        <f>FST!M167</f>
        <v>#N/A</v>
      </c>
      <c r="E72" s="506" t="e">
        <f>FST!N167</f>
        <v>#N/A</v>
      </c>
      <c r="F72" s="680"/>
    </row>
    <row r="73" spans="1:6" ht="37.15" customHeight="1" x14ac:dyDescent="0.2">
      <c r="A73" s="509" t="s">
        <v>870</v>
      </c>
      <c r="B73" s="679" t="s">
        <v>1377</v>
      </c>
      <c r="C73" s="495" t="e">
        <f>FST!L168</f>
        <v>#N/A</v>
      </c>
      <c r="D73" s="496" t="e">
        <f>FST!M168</f>
        <v>#N/A</v>
      </c>
      <c r="E73" s="506" t="e">
        <f>FST!N168</f>
        <v>#N/A</v>
      </c>
      <c r="F73" s="680"/>
    </row>
    <row r="74" spans="1:6" ht="28.15" customHeight="1" x14ac:dyDescent="0.2">
      <c r="A74" s="509" t="s">
        <v>870</v>
      </c>
      <c r="B74" s="504" t="s">
        <v>360</v>
      </c>
      <c r="C74" s="495" t="e">
        <f>FST!L169</f>
        <v>#N/A</v>
      </c>
      <c r="D74" s="496" t="e">
        <f>FST!M169</f>
        <v>#N/A</v>
      </c>
      <c r="E74" s="506" t="e">
        <f>FST!N169</f>
        <v>#N/A</v>
      </c>
      <c r="F74" s="680"/>
    </row>
    <row r="75" spans="1:6" ht="24" x14ac:dyDescent="0.2">
      <c r="A75" s="509" t="s">
        <v>870</v>
      </c>
      <c r="B75" s="679" t="s">
        <v>635</v>
      </c>
      <c r="C75" s="495" t="e">
        <f>FST!L170</f>
        <v>#N/A</v>
      </c>
      <c r="D75" s="496" t="e">
        <f>FST!M170</f>
        <v>#N/A</v>
      </c>
      <c r="E75" s="506" t="e">
        <f>FST!N170</f>
        <v>#N/A</v>
      </c>
      <c r="F75" s="680"/>
    </row>
    <row r="76" spans="1:6" ht="33" customHeight="1" x14ac:dyDescent="0.2">
      <c r="A76" s="509" t="s">
        <v>870</v>
      </c>
      <c r="B76" s="679" t="s">
        <v>361</v>
      </c>
      <c r="C76" s="495" t="e">
        <f>FST!L174</f>
        <v>#N/A</v>
      </c>
      <c r="D76" s="496" t="e">
        <f>FST!M174</f>
        <v>#N/A</v>
      </c>
      <c r="E76" s="506" t="e">
        <f>FST!N174</f>
        <v>#N/A</v>
      </c>
      <c r="F76" s="680"/>
    </row>
    <row r="77" spans="1:6" ht="42.75" customHeight="1" x14ac:dyDescent="0.2">
      <c r="A77" s="509" t="s">
        <v>870</v>
      </c>
      <c r="B77" s="679" t="s">
        <v>1519</v>
      </c>
      <c r="C77" s="495" t="e">
        <f>FST!L175</f>
        <v>#N/A</v>
      </c>
      <c r="D77" s="496" t="e">
        <f>FST!M175</f>
        <v>#N/A</v>
      </c>
      <c r="E77" s="506" t="e">
        <f>FST!N175</f>
        <v>#N/A</v>
      </c>
      <c r="F77" s="680"/>
    </row>
    <row r="78" spans="1:6" ht="42.75" customHeight="1" x14ac:dyDescent="0.2">
      <c r="A78" s="509" t="s">
        <v>870</v>
      </c>
      <c r="B78" s="679" t="s">
        <v>1694</v>
      </c>
      <c r="C78" s="495" t="e">
        <f>FST!L176</f>
        <v>#N/A</v>
      </c>
      <c r="D78" s="496" t="e">
        <f>FST!M176</f>
        <v>#N/A</v>
      </c>
      <c r="E78" s="506" t="e">
        <f>FST!N176</f>
        <v>#N/A</v>
      </c>
      <c r="F78" s="680"/>
    </row>
    <row r="79" spans="1:6" ht="47.25" customHeight="1" x14ac:dyDescent="0.2">
      <c r="A79" s="509" t="s">
        <v>870</v>
      </c>
      <c r="B79" s="679" t="s">
        <v>1574</v>
      </c>
      <c r="C79" s="495" t="e">
        <f>FST!L177</f>
        <v>#N/A</v>
      </c>
      <c r="D79" s="496" t="e">
        <f>FST!M177</f>
        <v>#N/A</v>
      </c>
      <c r="E79" s="506" t="e">
        <f>FST!N177</f>
        <v>#N/A</v>
      </c>
      <c r="F79" s="680"/>
    </row>
    <row r="80" spans="1:6" ht="25.15" customHeight="1" x14ac:dyDescent="0.2">
      <c r="A80" s="509" t="s">
        <v>870</v>
      </c>
      <c r="B80" s="504" t="s">
        <v>362</v>
      </c>
      <c r="C80" s="495" t="e">
        <f>FST!L178</f>
        <v>#N/A</v>
      </c>
      <c r="D80" s="496" t="e">
        <f>FST!M178</f>
        <v>#N/A</v>
      </c>
      <c r="E80" s="506" t="e">
        <f>FST!N178</f>
        <v>#N/A</v>
      </c>
      <c r="F80" s="680"/>
    </row>
    <row r="81" spans="1:6" ht="27" customHeight="1" x14ac:dyDescent="0.2">
      <c r="A81" s="509" t="s">
        <v>870</v>
      </c>
      <c r="B81" s="504" t="s">
        <v>363</v>
      </c>
      <c r="C81" s="495" t="e">
        <f>FST!L179</f>
        <v>#N/A</v>
      </c>
      <c r="D81" s="496" t="e">
        <f>FST!M179</f>
        <v>#N/A</v>
      </c>
      <c r="E81" s="506" t="e">
        <f>FST!N179</f>
        <v>#N/A</v>
      </c>
      <c r="F81" s="680"/>
    </row>
    <row r="82" spans="1:6" ht="36" x14ac:dyDescent="0.2">
      <c r="A82" s="509" t="s">
        <v>870</v>
      </c>
      <c r="B82" s="504" t="s">
        <v>320</v>
      </c>
      <c r="C82" s="495" t="e">
        <f>FST!L180</f>
        <v>#N/A</v>
      </c>
      <c r="D82" s="496" t="e">
        <f>FST!M180</f>
        <v>#N/A</v>
      </c>
      <c r="E82" s="506" t="e">
        <f>FST!N180</f>
        <v>#N/A</v>
      </c>
      <c r="F82" s="680"/>
    </row>
    <row r="83" spans="1:6" ht="24" x14ac:dyDescent="0.2">
      <c r="A83" s="509" t="s">
        <v>870</v>
      </c>
      <c r="B83" s="504" t="s">
        <v>321</v>
      </c>
      <c r="C83" s="495" t="e">
        <f>FST!L181</f>
        <v>#N/A</v>
      </c>
      <c r="D83" s="496" t="e">
        <f>FST!M181</f>
        <v>#N/A</v>
      </c>
      <c r="E83" s="506" t="e">
        <f>FST!N181</f>
        <v>#N/A</v>
      </c>
      <c r="F83" s="680"/>
    </row>
    <row r="84" spans="1:6" ht="37.15" customHeight="1" x14ac:dyDescent="0.2">
      <c r="A84" s="1014" t="s">
        <v>870</v>
      </c>
      <c r="B84" s="679" t="s">
        <v>1656</v>
      </c>
      <c r="C84" s="495" t="e">
        <f>FST!L182</f>
        <v>#N/A</v>
      </c>
      <c r="D84" s="496" t="e">
        <f>FST!M182</f>
        <v>#N/A</v>
      </c>
      <c r="E84" s="506" t="e">
        <f>FST!N182</f>
        <v>#N/A</v>
      </c>
      <c r="F84" s="680"/>
    </row>
    <row r="85" spans="1:6" ht="24" x14ac:dyDescent="0.2">
      <c r="A85" s="509" t="s">
        <v>870</v>
      </c>
      <c r="B85" s="679" t="s">
        <v>1284</v>
      </c>
      <c r="C85" s="495" t="e">
        <f>FST!L183</f>
        <v>#N/A</v>
      </c>
      <c r="D85" s="496" t="e">
        <f>FST!M183</f>
        <v>#N/A</v>
      </c>
      <c r="E85" s="498" t="e">
        <f>FST!N183</f>
        <v>#N/A</v>
      </c>
      <c r="F85" s="680"/>
    </row>
    <row r="86" spans="1:6" ht="36" x14ac:dyDescent="0.2">
      <c r="A86" s="509" t="s">
        <v>870</v>
      </c>
      <c r="B86" s="679" t="s">
        <v>1378</v>
      </c>
      <c r="C86" s="495" t="e">
        <f>FST!L184</f>
        <v>#N/A</v>
      </c>
      <c r="D86" s="496" t="e">
        <f>FST!M184</f>
        <v>#N/A</v>
      </c>
      <c r="E86" s="498" t="e">
        <f>FST!N184</f>
        <v>#N/A</v>
      </c>
      <c r="F86" s="680"/>
    </row>
    <row r="87" spans="1:6" ht="36" x14ac:dyDescent="0.2">
      <c r="A87" s="509" t="s">
        <v>870</v>
      </c>
      <c r="B87" s="679" t="s">
        <v>1379</v>
      </c>
      <c r="C87" s="495" t="e">
        <f>FST!L185</f>
        <v>#N/A</v>
      </c>
      <c r="D87" s="496" t="e">
        <f>FST!M185</f>
        <v>#N/A</v>
      </c>
      <c r="E87" s="498" t="e">
        <f>FST!N185</f>
        <v>#N/A</v>
      </c>
      <c r="F87" s="680"/>
    </row>
    <row r="88" spans="1:6" ht="24" x14ac:dyDescent="0.2">
      <c r="A88" s="509" t="s">
        <v>870</v>
      </c>
      <c r="B88" s="504" t="s">
        <v>252</v>
      </c>
      <c r="C88" s="495" t="e">
        <f>FST!L186</f>
        <v>#N/A</v>
      </c>
      <c r="D88" s="496" t="e">
        <f>FST!M186</f>
        <v>#N/A</v>
      </c>
      <c r="E88" s="498" t="e">
        <f>FST!N186</f>
        <v>#N/A</v>
      </c>
      <c r="F88" s="680"/>
    </row>
    <row r="89" spans="1:6" ht="24" x14ac:dyDescent="0.2">
      <c r="A89" s="509" t="s">
        <v>870</v>
      </c>
      <c r="B89" s="504" t="s">
        <v>589</v>
      </c>
      <c r="C89" s="495" t="e">
        <f>FST!L187</f>
        <v>#N/A</v>
      </c>
      <c r="D89" s="496" t="e">
        <f>FST!M187</f>
        <v>#N/A</v>
      </c>
      <c r="E89" s="498" t="e">
        <f>FST!N187</f>
        <v>#N/A</v>
      </c>
      <c r="F89" s="680"/>
    </row>
    <row r="90" spans="1:6" x14ac:dyDescent="0.2">
      <c r="A90" s="509" t="s">
        <v>870</v>
      </c>
      <c r="B90" s="679" t="s">
        <v>852</v>
      </c>
      <c r="C90" s="495" t="e">
        <f>FST!L192</f>
        <v>#N/A</v>
      </c>
      <c r="D90" s="496" t="e">
        <f>FST!M192</f>
        <v>#N/A</v>
      </c>
      <c r="E90" s="498" t="e">
        <f>FST!N192</f>
        <v>#N/A</v>
      </c>
      <c r="F90" s="680"/>
    </row>
    <row r="91" spans="1:6" ht="27" customHeight="1" x14ac:dyDescent="0.2">
      <c r="A91" s="509" t="s">
        <v>870</v>
      </c>
      <c r="B91" s="679" t="s">
        <v>871</v>
      </c>
      <c r="C91" s="495" t="e">
        <f>FST!L197</f>
        <v>#N/A</v>
      </c>
      <c r="D91" s="496" t="e">
        <f>FST!M197</f>
        <v>#N/A</v>
      </c>
      <c r="E91" s="498" t="e">
        <f>FST!N197</f>
        <v>#N/A</v>
      </c>
      <c r="F91" s="680"/>
    </row>
    <row r="92" spans="1:6" ht="24" x14ac:dyDescent="0.2">
      <c r="A92" s="509" t="s">
        <v>870</v>
      </c>
      <c r="B92" s="679" t="s">
        <v>872</v>
      </c>
      <c r="C92" s="495" t="e">
        <f>FST!L208</f>
        <v>#N/A</v>
      </c>
      <c r="D92" s="496" t="e">
        <f>FST!M208</f>
        <v>#N/A</v>
      </c>
      <c r="E92" s="498" t="e">
        <f>FST!N208</f>
        <v>#N/A</v>
      </c>
      <c r="F92" s="680"/>
    </row>
    <row r="93" spans="1:6" ht="25.9" customHeight="1" x14ac:dyDescent="0.2">
      <c r="A93" s="509" t="s">
        <v>870</v>
      </c>
      <c r="B93" s="679" t="s">
        <v>873</v>
      </c>
      <c r="C93" s="495" t="e">
        <f>FST!L222</f>
        <v>#N/A</v>
      </c>
      <c r="D93" s="496" t="e">
        <f>FST!M222</f>
        <v>#N/A</v>
      </c>
      <c r="E93" s="498" t="e">
        <f>FST!N222</f>
        <v>#N/A</v>
      </c>
      <c r="F93" s="680"/>
    </row>
    <row r="94" spans="1:6" x14ac:dyDescent="0.2">
      <c r="A94" s="509" t="s">
        <v>870</v>
      </c>
      <c r="B94" s="679" t="s">
        <v>874</v>
      </c>
      <c r="C94" s="495" t="e">
        <f>FST!L224</f>
        <v>#N/A</v>
      </c>
      <c r="D94" s="496" t="e">
        <f>FST!M224</f>
        <v>#N/A</v>
      </c>
      <c r="E94" s="498" t="e">
        <f>FST!N224</f>
        <v>#N/A</v>
      </c>
      <c r="F94" s="680"/>
    </row>
    <row r="95" spans="1:6" ht="24" x14ac:dyDescent="0.2">
      <c r="A95" s="509" t="s">
        <v>136</v>
      </c>
      <c r="B95" s="504" t="s">
        <v>590</v>
      </c>
      <c r="C95" s="495" t="e">
        <f>FST!L235</f>
        <v>#N/A</v>
      </c>
      <c r="D95" s="496" t="e">
        <f>FST!M235</f>
        <v>#N/A</v>
      </c>
      <c r="E95" s="498" t="e">
        <f>FST!N235</f>
        <v>#N/A</v>
      </c>
      <c r="F95" s="680"/>
    </row>
    <row r="96" spans="1:6" ht="24" x14ac:dyDescent="0.2">
      <c r="A96" s="509" t="s">
        <v>136</v>
      </c>
      <c r="B96" s="504" t="s">
        <v>618</v>
      </c>
      <c r="C96" s="495" t="e">
        <f>FST!L236</f>
        <v>#N/A</v>
      </c>
      <c r="D96" s="496" t="e">
        <f>FST!M236</f>
        <v>#N/A</v>
      </c>
      <c r="E96" s="498" t="e">
        <f>FST!N236</f>
        <v>#N/A</v>
      </c>
      <c r="F96" s="680"/>
    </row>
    <row r="97" spans="1:6" ht="24" x14ac:dyDescent="0.2">
      <c r="A97" s="509" t="s">
        <v>136</v>
      </c>
      <c r="B97" s="504" t="s">
        <v>644</v>
      </c>
      <c r="C97" s="495" t="e">
        <f>FST!L237</f>
        <v>#N/A</v>
      </c>
      <c r="D97" s="496" t="e">
        <f>FST!M237</f>
        <v>#N/A</v>
      </c>
      <c r="E97" s="498" t="e">
        <f>FST!N237</f>
        <v>#N/A</v>
      </c>
      <c r="F97" s="680"/>
    </row>
    <row r="98" spans="1:6" ht="24" x14ac:dyDescent="0.2">
      <c r="A98" s="509" t="s">
        <v>136</v>
      </c>
      <c r="B98" s="504" t="s">
        <v>122</v>
      </c>
      <c r="C98" s="495" t="e">
        <f>FST!L240</f>
        <v>#N/A</v>
      </c>
      <c r="D98" s="496" t="e">
        <f>FST!M240</f>
        <v>#N/A</v>
      </c>
      <c r="E98" s="498" t="e">
        <f>FST!N240</f>
        <v>#N/A</v>
      </c>
      <c r="F98" s="680"/>
    </row>
    <row r="99" spans="1:6" ht="24" x14ac:dyDescent="0.2">
      <c r="A99" s="509" t="s">
        <v>136</v>
      </c>
      <c r="B99" s="504" t="s">
        <v>642</v>
      </c>
      <c r="C99" s="495" t="e">
        <f>FST!L241</f>
        <v>#N/A</v>
      </c>
      <c r="D99" s="496" t="e">
        <f>FST!M241</f>
        <v>#N/A</v>
      </c>
      <c r="E99" s="498" t="e">
        <f>FST!N241</f>
        <v>#N/A</v>
      </c>
      <c r="F99" s="680"/>
    </row>
    <row r="100" spans="1:6" ht="24" x14ac:dyDescent="0.2">
      <c r="A100" s="509" t="s">
        <v>136</v>
      </c>
      <c r="B100" s="679" t="s">
        <v>1034</v>
      </c>
      <c r="C100" s="495" t="e">
        <f>FST!L248</f>
        <v>#N/A</v>
      </c>
      <c r="D100" s="496" t="e">
        <f>FST!M248</f>
        <v>#N/A</v>
      </c>
      <c r="E100" s="498" t="e">
        <f>FST!N248</f>
        <v>#N/A</v>
      </c>
      <c r="F100" s="680"/>
    </row>
    <row r="101" spans="1:6" ht="24" x14ac:dyDescent="0.2">
      <c r="A101" s="509" t="s">
        <v>136</v>
      </c>
      <c r="B101" s="679" t="s">
        <v>1135</v>
      </c>
      <c r="C101" s="495" t="e">
        <f>FST!L249</f>
        <v>#N/A</v>
      </c>
      <c r="D101" s="496" t="e">
        <f>FST!M249</f>
        <v>#N/A</v>
      </c>
      <c r="E101" s="498" t="e">
        <f>FST!N249</f>
        <v>#N/A</v>
      </c>
      <c r="F101" s="680"/>
    </row>
    <row r="102" spans="1:6" ht="36" x14ac:dyDescent="0.2">
      <c r="A102" s="509" t="s">
        <v>136</v>
      </c>
      <c r="B102" s="679" t="s">
        <v>1136</v>
      </c>
      <c r="C102" s="495" t="e">
        <f>FST!L250</f>
        <v>#N/A</v>
      </c>
      <c r="D102" s="496" t="e">
        <f>FST!M250</f>
        <v>#N/A</v>
      </c>
      <c r="E102" s="498" t="e">
        <f>FST!N250</f>
        <v>#N/A</v>
      </c>
      <c r="F102" s="680"/>
    </row>
    <row r="103" spans="1:6" ht="24" x14ac:dyDescent="0.2">
      <c r="A103" s="509" t="s">
        <v>136</v>
      </c>
      <c r="B103" s="504" t="s">
        <v>62</v>
      </c>
      <c r="C103" s="495" t="e">
        <f>FST!L253</f>
        <v>#N/A</v>
      </c>
      <c r="D103" s="496" t="e">
        <f>FST!M253</f>
        <v>#N/A</v>
      </c>
      <c r="E103" s="498" t="e">
        <f>FST!N253</f>
        <v>#N/A</v>
      </c>
      <c r="F103" s="680"/>
    </row>
    <row r="104" spans="1:6" ht="23.45" customHeight="1" x14ac:dyDescent="0.2">
      <c r="A104" s="509" t="s">
        <v>136</v>
      </c>
      <c r="B104" s="504" t="s">
        <v>416</v>
      </c>
      <c r="C104" s="495" t="e">
        <f>FST!L254</f>
        <v>#N/A</v>
      </c>
      <c r="D104" s="496" t="e">
        <f>FST!M254</f>
        <v>#N/A</v>
      </c>
      <c r="E104" s="498" t="e">
        <f>FST!N254</f>
        <v>#N/A</v>
      </c>
      <c r="F104" s="680"/>
    </row>
    <row r="105" spans="1:6" x14ac:dyDescent="0.2">
      <c r="A105" s="509" t="s">
        <v>136</v>
      </c>
      <c r="B105" s="504" t="s">
        <v>276</v>
      </c>
      <c r="C105" s="495" t="e">
        <f>FST!L256</f>
        <v>#N/A</v>
      </c>
      <c r="D105" s="496" t="e">
        <f>FST!M256</f>
        <v>#N/A</v>
      </c>
      <c r="E105" s="498" t="e">
        <f>FST!N256</f>
        <v>#N/A</v>
      </c>
      <c r="F105" s="680"/>
    </row>
    <row r="106" spans="1:6" x14ac:dyDescent="0.2">
      <c r="A106" s="509" t="s">
        <v>136</v>
      </c>
      <c r="B106" s="504" t="s">
        <v>277</v>
      </c>
      <c r="C106" s="495" t="e">
        <f>FST!L257</f>
        <v>#N/A</v>
      </c>
      <c r="D106" s="496" t="e">
        <f>FST!M257</f>
        <v>#N/A</v>
      </c>
      <c r="E106" s="498" t="e">
        <f>FST!N257</f>
        <v>#N/A</v>
      </c>
      <c r="F106" s="680"/>
    </row>
    <row r="107" spans="1:6" ht="24" x14ac:dyDescent="0.2">
      <c r="A107" s="509" t="s">
        <v>136</v>
      </c>
      <c r="B107" s="504" t="s">
        <v>278</v>
      </c>
      <c r="C107" s="495" t="e">
        <f>FST!L258</f>
        <v>#N/A</v>
      </c>
      <c r="D107" s="496" t="e">
        <f>FST!M258</f>
        <v>#N/A</v>
      </c>
      <c r="E107" s="498" t="e">
        <f>FST!N258</f>
        <v>#N/A</v>
      </c>
      <c r="F107" s="680"/>
    </row>
    <row r="108" spans="1:6" ht="24" x14ac:dyDescent="0.2">
      <c r="A108" s="509" t="s">
        <v>136</v>
      </c>
      <c r="B108" s="504" t="s">
        <v>534</v>
      </c>
      <c r="C108" s="495" t="e">
        <f>FST!L259</f>
        <v>#N/A</v>
      </c>
      <c r="D108" s="496" t="e">
        <f>FST!M259</f>
        <v>#N/A</v>
      </c>
      <c r="E108" s="498" t="e">
        <f>FST!N259</f>
        <v>#N/A</v>
      </c>
      <c r="F108" s="680"/>
    </row>
    <row r="109" spans="1:6" ht="24" x14ac:dyDescent="0.2">
      <c r="A109" s="509" t="s">
        <v>136</v>
      </c>
      <c r="B109" s="504" t="s">
        <v>417</v>
      </c>
      <c r="C109" s="505" t="e">
        <f>FST!L261</f>
        <v>#N/A</v>
      </c>
      <c r="D109" s="503" t="e">
        <f>FST!M261</f>
        <v>#N/A</v>
      </c>
      <c r="E109" s="499" t="e">
        <f>FST!N261</f>
        <v>#N/A</v>
      </c>
      <c r="F109" s="680"/>
    </row>
    <row r="110" spans="1:6" x14ac:dyDescent="0.2">
      <c r="A110" s="509" t="s">
        <v>136</v>
      </c>
      <c r="B110" s="504" t="s">
        <v>418</v>
      </c>
      <c r="C110" s="505" t="e">
        <f>FST!L262</f>
        <v>#N/A</v>
      </c>
      <c r="D110" s="503" t="e">
        <f>FST!M262</f>
        <v>#N/A</v>
      </c>
      <c r="E110" s="499" t="e">
        <f>FST!N262</f>
        <v>#N/A</v>
      </c>
      <c r="F110" s="680"/>
    </row>
    <row r="111" spans="1:6" ht="36.75" customHeight="1" x14ac:dyDescent="0.2">
      <c r="A111" s="509" t="s">
        <v>136</v>
      </c>
      <c r="B111" s="679" t="s">
        <v>1715</v>
      </c>
      <c r="C111" s="505" t="e">
        <f>FST!L263</f>
        <v>#N/A</v>
      </c>
      <c r="D111" s="503" t="e">
        <f>FST!M263</f>
        <v>#N/A</v>
      </c>
      <c r="E111" s="499" t="e">
        <f>FST!N263</f>
        <v>#N/A</v>
      </c>
      <c r="F111" s="1050" t="s">
        <v>1837</v>
      </c>
    </row>
    <row r="112" spans="1:6" x14ac:dyDescent="0.2">
      <c r="A112" s="509" t="s">
        <v>136</v>
      </c>
      <c r="B112" s="504" t="s">
        <v>419</v>
      </c>
      <c r="C112" s="505" t="e">
        <f>FST!L264</f>
        <v>#N/A</v>
      </c>
      <c r="D112" s="503" t="e">
        <f>FST!M264</f>
        <v>#N/A</v>
      </c>
      <c r="E112" s="499" t="e">
        <f>FST!N264</f>
        <v>#N/A</v>
      </c>
      <c r="F112" s="680"/>
    </row>
    <row r="113" spans="1:6" ht="24" x14ac:dyDescent="0.2">
      <c r="A113" s="509" t="s">
        <v>136</v>
      </c>
      <c r="B113" s="504" t="s">
        <v>420</v>
      </c>
      <c r="C113" s="505" t="e">
        <f>FST!L265</f>
        <v>#N/A</v>
      </c>
      <c r="D113" s="503" t="e">
        <f>FST!M265</f>
        <v>#N/A</v>
      </c>
      <c r="E113" s="499" t="e">
        <f>FST!N265</f>
        <v>#N/A</v>
      </c>
      <c r="F113" s="680"/>
    </row>
    <row r="114" spans="1:6" ht="24" x14ac:dyDescent="0.2">
      <c r="A114" s="509" t="s">
        <v>136</v>
      </c>
      <c r="B114" s="679" t="s">
        <v>1372</v>
      </c>
      <c r="C114" s="505" t="e">
        <f>FST!L266</f>
        <v>#N/A</v>
      </c>
      <c r="D114" s="503" t="e">
        <f>FST!M266</f>
        <v>#N/A</v>
      </c>
      <c r="E114" s="499" t="e">
        <f>FST!N266</f>
        <v>#N/A</v>
      </c>
      <c r="F114" s="680"/>
    </row>
    <row r="115" spans="1:6" ht="24" x14ac:dyDescent="0.2">
      <c r="A115" s="509" t="s">
        <v>136</v>
      </c>
      <c r="B115" s="504" t="s">
        <v>125</v>
      </c>
      <c r="C115" s="495" t="e">
        <f>FST!L271</f>
        <v>#N/A</v>
      </c>
      <c r="D115" s="496" t="e">
        <f>FST!M271</f>
        <v>#N/A</v>
      </c>
      <c r="E115" s="499" t="e">
        <f>FST!N271</f>
        <v>#N/A</v>
      </c>
      <c r="F115" s="680"/>
    </row>
    <row r="116" spans="1:6" x14ac:dyDescent="0.2">
      <c r="A116" s="509" t="s">
        <v>136</v>
      </c>
      <c r="B116" s="504" t="s">
        <v>519</v>
      </c>
      <c r="C116" s="495" t="e">
        <f>FST!L273</f>
        <v>#N/A</v>
      </c>
      <c r="D116" s="496" t="e">
        <f>FST!M273</f>
        <v>#N/A</v>
      </c>
      <c r="E116" s="499" t="e">
        <f>FST!N273</f>
        <v>#N/A</v>
      </c>
      <c r="F116" s="680"/>
    </row>
    <row r="117" spans="1:6" x14ac:dyDescent="0.2">
      <c r="A117" s="509" t="s">
        <v>136</v>
      </c>
      <c r="B117" s="504" t="s">
        <v>421</v>
      </c>
      <c r="C117" s="505" t="e">
        <f>FST!L278</f>
        <v>#N/A</v>
      </c>
      <c r="D117" s="503" t="e">
        <f>FST!M278</f>
        <v>#N/A</v>
      </c>
      <c r="E117" s="499" t="e">
        <f>FST!N278</f>
        <v>#N/A</v>
      </c>
      <c r="F117" s="680"/>
    </row>
    <row r="118" spans="1:6" x14ac:dyDescent="0.2">
      <c r="A118" s="509" t="s">
        <v>136</v>
      </c>
      <c r="B118" s="504" t="s">
        <v>422</v>
      </c>
      <c r="C118" s="505" t="e">
        <f>FST!L279</f>
        <v>#N/A</v>
      </c>
      <c r="D118" s="503" t="e">
        <f>FST!M279</f>
        <v>#N/A</v>
      </c>
      <c r="E118" s="499" t="e">
        <f>FST!N279</f>
        <v>#N/A</v>
      </c>
      <c r="F118" s="680"/>
    </row>
    <row r="119" spans="1:6" x14ac:dyDescent="0.2">
      <c r="A119" s="510"/>
      <c r="C119" s="274"/>
      <c r="D119" s="502"/>
    </row>
    <row r="120" spans="1:6" x14ac:dyDescent="0.2">
      <c r="A120" s="510"/>
      <c r="C120" s="274"/>
      <c r="D120" s="502"/>
    </row>
    <row r="121" spans="1:6" x14ac:dyDescent="0.2">
      <c r="A121" s="510"/>
      <c r="C121" s="274"/>
      <c r="D121" s="502"/>
    </row>
    <row r="122" spans="1:6" x14ac:dyDescent="0.2">
      <c r="A122" s="510"/>
    </row>
    <row r="123" spans="1:6" x14ac:dyDescent="0.2">
      <c r="A123" s="510"/>
    </row>
    <row r="124" spans="1:6" x14ac:dyDescent="0.2">
      <c r="A124" s="510"/>
    </row>
    <row r="125" spans="1:6" x14ac:dyDescent="0.2">
      <c r="A125" s="510"/>
    </row>
    <row r="126" spans="1:6" x14ac:dyDescent="0.2">
      <c r="A126" s="510"/>
    </row>
    <row r="127" spans="1:6" x14ac:dyDescent="0.2">
      <c r="A127" s="510"/>
    </row>
    <row r="128" spans="1:6" x14ac:dyDescent="0.2">
      <c r="A128" s="510"/>
    </row>
    <row r="129" spans="1:1" x14ac:dyDescent="0.2">
      <c r="A129" s="510"/>
    </row>
    <row r="130" spans="1:1" x14ac:dyDescent="0.2">
      <c r="A130" s="510"/>
    </row>
    <row r="131" spans="1:1" x14ac:dyDescent="0.2">
      <c r="A131" s="510"/>
    </row>
    <row r="132" spans="1:1" x14ac:dyDescent="0.2">
      <c r="A132" s="510"/>
    </row>
    <row r="133" spans="1:1" x14ac:dyDescent="0.2">
      <c r="A133" s="510"/>
    </row>
    <row r="134" spans="1:1" x14ac:dyDescent="0.2">
      <c r="A134" s="510"/>
    </row>
    <row r="135" spans="1:1" x14ac:dyDescent="0.2">
      <c r="A135" s="510"/>
    </row>
    <row r="136" spans="1:1" x14ac:dyDescent="0.2">
      <c r="A136" s="510"/>
    </row>
    <row r="137" spans="1:1" x14ac:dyDescent="0.2">
      <c r="A137" s="510"/>
    </row>
    <row r="138" spans="1:1" x14ac:dyDescent="0.2">
      <c r="A138" s="510"/>
    </row>
  </sheetData>
  <sheetProtection algorithmName="SHA-512" hashValue="heHLgQjMtvKxSld4p9LhOBLhWG+pL1qUJlVMxFuKHWRWeoErHbIgw4OGlzKdDvJVYdGjCH0uj9Y8KYazHvM23g==" saltValue="fKyk7fEzR5gyIWRJRiXL4w==" spinCount="100000" sheet="1" objects="1" scenarios="1" autoFilter="0"/>
  <autoFilter ref="E15:E118" xr:uid="{00000000-0009-0000-0000-000007000000}"/>
  <mergeCells count="7">
    <mergeCell ref="C1:F1"/>
    <mergeCell ref="C6:F6"/>
    <mergeCell ref="C14:E14"/>
    <mergeCell ref="C2:F2"/>
    <mergeCell ref="C3:F3"/>
    <mergeCell ref="C4:F4"/>
    <mergeCell ref="C5:F5"/>
  </mergeCells>
  <phoneticPr fontId="12" type="noConversion"/>
  <dataValidations disablePrompts="1" count="2">
    <dataValidation allowBlank="1" showInputMessage="1" showErrorMessage="1" error="Enter whole number." sqref="B61:E62" xr:uid="{00000000-0002-0000-0700-000000000000}"/>
    <dataValidation type="whole" allowBlank="1" showInputMessage="1" showErrorMessage="1" error="Enter a 3-digit agency control number." sqref="C1:F1" xr:uid="{00000000-0002-0000-0700-000001000000}">
      <formula1>100</formula1>
      <formula2>999</formula2>
    </dataValidation>
  </dataValidations>
  <pageMargins left="0.7" right="0.5" top="0.82" bottom="0.5" header="0.38" footer="0.17"/>
  <pageSetup scale="69" fitToHeight="0" orientation="portrait" cellComments="asDisplayed" r:id="rId1"/>
  <headerFooter alignWithMargins="0">
    <oddHeader>&amp;C&amp;"Arial,Bold"&amp;12Attachment HE-10
Financial Statement Template
&amp;A</oddHeader>
    <oddFooter>&amp;L&amp;"Arial,Regular"&amp;F \ &amp;A&amp;R&amp;"Arial,Regular"Page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98"/>
  <sheetViews>
    <sheetView showGridLines="0" zoomScaleNormal="100" workbookViewId="0"/>
  </sheetViews>
  <sheetFormatPr defaultColWidth="9.33203125" defaultRowHeight="12.75" x14ac:dyDescent="0.2"/>
  <cols>
    <col min="1" max="1" width="6.33203125" style="511" customWidth="1"/>
    <col min="2" max="2" width="31.83203125" style="896" customWidth="1"/>
    <col min="3" max="3" width="18.83203125" style="493" customWidth="1"/>
    <col min="4" max="4" width="12.83203125" style="500" customWidth="1"/>
    <col min="5" max="5" width="14.6640625" style="266" customWidth="1"/>
    <col min="6" max="6" width="60.33203125" style="511" customWidth="1"/>
    <col min="7" max="16384" width="9.33203125" style="511"/>
  </cols>
  <sheetData>
    <row r="1" spans="1:10" x14ac:dyDescent="0.2">
      <c r="A1" s="824" t="s">
        <v>1155</v>
      </c>
      <c r="C1" s="1222">
        <f>FST!E1</f>
        <v>0</v>
      </c>
      <c r="D1" s="1223"/>
      <c r="E1" s="1223"/>
      <c r="F1" s="1224"/>
    </row>
    <row r="2" spans="1:10" ht="38.25" customHeight="1" x14ac:dyDescent="0.2">
      <c r="A2" s="824" t="s">
        <v>770</v>
      </c>
      <c r="C2" s="1231" t="str">
        <f>FST!E2</f>
        <v/>
      </c>
      <c r="D2" s="1232"/>
      <c r="E2" s="1232"/>
      <c r="F2" s="1233"/>
    </row>
    <row r="3" spans="1:10" x14ac:dyDescent="0.2">
      <c r="A3" s="824" t="s">
        <v>771</v>
      </c>
      <c r="C3" s="1234">
        <f>FST!E3</f>
        <v>0</v>
      </c>
      <c r="D3" s="1235"/>
      <c r="E3" s="1235"/>
      <c r="F3" s="1236"/>
    </row>
    <row r="4" spans="1:10" x14ac:dyDescent="0.2">
      <c r="A4" s="824" t="s">
        <v>773</v>
      </c>
      <c r="C4" s="1237">
        <f>FST!E4</f>
        <v>0</v>
      </c>
      <c r="D4" s="1238"/>
      <c r="E4" s="1238"/>
      <c r="F4" s="1239"/>
    </row>
    <row r="5" spans="1:10" x14ac:dyDescent="0.2">
      <c r="A5" s="825" t="s">
        <v>774</v>
      </c>
      <c r="C5" s="1234">
        <f>FST!E5</f>
        <v>0</v>
      </c>
      <c r="D5" s="1235"/>
      <c r="E5" s="1235"/>
      <c r="F5" s="1236"/>
    </row>
    <row r="6" spans="1:10" x14ac:dyDescent="0.2">
      <c r="A6" s="826" t="s">
        <v>775</v>
      </c>
      <c r="C6" s="1225">
        <f>FST!E6</f>
        <v>0</v>
      </c>
      <c r="D6" s="1226"/>
      <c r="E6" s="1226"/>
      <c r="F6" s="1227"/>
    </row>
    <row r="7" spans="1:10" x14ac:dyDescent="0.2">
      <c r="A7" s="1" t="s">
        <v>1732</v>
      </c>
      <c r="E7" s="487"/>
    </row>
    <row r="8" spans="1:10" x14ac:dyDescent="0.2">
      <c r="B8" s="488"/>
      <c r="E8" s="487"/>
    </row>
    <row r="9" spans="1:10" x14ac:dyDescent="0.2">
      <c r="B9" s="33" t="s">
        <v>449</v>
      </c>
      <c r="C9" s="494"/>
      <c r="D9" s="501"/>
      <c r="E9" s="497"/>
      <c r="F9" s="64"/>
      <c r="G9" s="64"/>
      <c r="H9" s="64"/>
      <c r="I9" s="64"/>
      <c r="J9" s="64"/>
    </row>
    <row r="10" spans="1:10" ht="3.75" customHeight="1" x14ac:dyDescent="0.2">
      <c r="B10" s="211"/>
    </row>
    <row r="11" spans="1:10" ht="18" customHeight="1" x14ac:dyDescent="0.2">
      <c r="B11" s="211" t="s">
        <v>868</v>
      </c>
    </row>
    <row r="12" spans="1:10" ht="71.25" customHeight="1" x14ac:dyDescent="0.2">
      <c r="B12" s="489"/>
      <c r="E12" s="487"/>
    </row>
    <row r="13" spans="1:10" x14ac:dyDescent="0.2">
      <c r="B13" s="69"/>
      <c r="E13" s="383"/>
    </row>
    <row r="14" spans="1:10" x14ac:dyDescent="0.2">
      <c r="B14" s="69"/>
      <c r="C14" s="1228" t="s">
        <v>636</v>
      </c>
      <c r="D14" s="1229"/>
      <c r="E14" s="1230"/>
    </row>
    <row r="15" spans="1:10" ht="93.75" customHeight="1" x14ac:dyDescent="0.2">
      <c r="A15" s="490" t="s">
        <v>869</v>
      </c>
      <c r="B15" s="490" t="s">
        <v>423</v>
      </c>
      <c r="C15" s="491" t="s">
        <v>17</v>
      </c>
      <c r="D15" s="507" t="s">
        <v>18</v>
      </c>
      <c r="E15" s="492" t="s">
        <v>433</v>
      </c>
      <c r="F15" s="708" t="s">
        <v>1247</v>
      </c>
    </row>
    <row r="16" spans="1:10" x14ac:dyDescent="0.2">
      <c r="A16" s="509" t="s">
        <v>870</v>
      </c>
      <c r="B16" s="504" t="s">
        <v>77</v>
      </c>
      <c r="C16" s="495" t="e">
        <f>FST!Q33</f>
        <v>#N/A</v>
      </c>
      <c r="D16" s="496" t="e">
        <f>FST!R33</f>
        <v>#N/A</v>
      </c>
      <c r="E16" s="498" t="e">
        <f>FST!S33</f>
        <v>#N/A</v>
      </c>
      <c r="F16" s="665"/>
    </row>
    <row r="17" spans="1:6" x14ac:dyDescent="0.2">
      <c r="A17" s="509" t="s">
        <v>870</v>
      </c>
      <c r="B17" s="504" t="s">
        <v>744</v>
      </c>
      <c r="C17" s="495" t="e">
        <f>FST!Q41</f>
        <v>#N/A</v>
      </c>
      <c r="D17" s="496" t="e">
        <f>FST!R41</f>
        <v>#N/A</v>
      </c>
      <c r="E17" s="498" t="e">
        <f>FST!S41</f>
        <v>#N/A</v>
      </c>
      <c r="F17" s="665"/>
    </row>
    <row r="18" spans="1:6" x14ac:dyDescent="0.2">
      <c r="A18" s="509" t="s">
        <v>870</v>
      </c>
      <c r="B18" s="504" t="s">
        <v>765</v>
      </c>
      <c r="C18" s="495" t="e">
        <f>FST!Q56</f>
        <v>#N/A</v>
      </c>
      <c r="D18" s="496" t="e">
        <f>FST!R56</f>
        <v>#N/A</v>
      </c>
      <c r="E18" s="498" t="e">
        <f>FST!S56</f>
        <v>#N/A</v>
      </c>
      <c r="F18" s="665"/>
    </row>
    <row r="19" spans="1:6" x14ac:dyDescent="0.2">
      <c r="A19" s="509" t="s">
        <v>870</v>
      </c>
      <c r="B19" s="504" t="s">
        <v>745</v>
      </c>
      <c r="C19" s="495" t="e">
        <f>FST!Q57</f>
        <v>#N/A</v>
      </c>
      <c r="D19" s="496" t="e">
        <f>FST!R57</f>
        <v>#N/A</v>
      </c>
      <c r="E19" s="498" t="e">
        <f>FST!S57</f>
        <v>#N/A</v>
      </c>
      <c r="F19" s="665"/>
    </row>
    <row r="20" spans="1:6" ht="24" x14ac:dyDescent="0.2">
      <c r="A20" s="509" t="s">
        <v>870</v>
      </c>
      <c r="B20" s="504" t="s">
        <v>517</v>
      </c>
      <c r="C20" s="495" t="e">
        <f>FST!Q59</f>
        <v>#N/A</v>
      </c>
      <c r="D20" s="496" t="e">
        <f>FST!R59</f>
        <v>#N/A</v>
      </c>
      <c r="E20" s="498" t="e">
        <f>FST!S59</f>
        <v>#N/A</v>
      </c>
      <c r="F20" s="665"/>
    </row>
    <row r="21" spans="1:6" x14ac:dyDescent="0.2">
      <c r="A21" s="509" t="s">
        <v>870</v>
      </c>
      <c r="B21" s="504" t="s">
        <v>461</v>
      </c>
      <c r="C21" s="495" t="e">
        <f>FST!Q60</f>
        <v>#N/A</v>
      </c>
      <c r="D21" s="496" t="e">
        <f>FST!R60</f>
        <v>#N/A</v>
      </c>
      <c r="E21" s="498" t="e">
        <f>FST!S60</f>
        <v>#N/A</v>
      </c>
      <c r="F21" s="665"/>
    </row>
    <row r="22" spans="1:6" x14ac:dyDescent="0.2">
      <c r="A22" s="509" t="s">
        <v>870</v>
      </c>
      <c r="B22" s="504" t="s">
        <v>766</v>
      </c>
      <c r="C22" s="495" t="e">
        <f>FST!Q62</f>
        <v>#N/A</v>
      </c>
      <c r="D22" s="496" t="e">
        <f>FST!R62</f>
        <v>#N/A</v>
      </c>
      <c r="E22" s="498" t="e">
        <f>FST!S62</f>
        <v>#N/A</v>
      </c>
      <c r="F22" s="665"/>
    </row>
    <row r="23" spans="1:6" x14ac:dyDescent="0.2">
      <c r="A23" s="509" t="s">
        <v>870</v>
      </c>
      <c r="B23" s="504" t="s">
        <v>483</v>
      </c>
      <c r="C23" s="495" t="e">
        <f>FST!Q63</f>
        <v>#N/A</v>
      </c>
      <c r="D23" s="496" t="e">
        <f>FST!R63</f>
        <v>#N/A</v>
      </c>
      <c r="E23" s="498" t="e">
        <f>FST!S63</f>
        <v>#N/A</v>
      </c>
      <c r="F23" s="665"/>
    </row>
    <row r="24" spans="1:6" x14ac:dyDescent="0.2">
      <c r="A24" s="509" t="s">
        <v>870</v>
      </c>
      <c r="B24" s="504" t="s">
        <v>78</v>
      </c>
      <c r="C24" s="495" t="e">
        <f>FST!Q65</f>
        <v>#N/A</v>
      </c>
      <c r="D24" s="496" t="e">
        <f>FST!R65</f>
        <v>#N/A</v>
      </c>
      <c r="E24" s="498" t="e">
        <f>FST!S65</f>
        <v>#N/A</v>
      </c>
      <c r="F24" s="665"/>
    </row>
    <row r="25" spans="1:6" x14ac:dyDescent="0.2">
      <c r="A25" s="509" t="s">
        <v>870</v>
      </c>
      <c r="B25" s="504" t="s">
        <v>485</v>
      </c>
      <c r="C25" s="495" t="e">
        <f>FST!Q68</f>
        <v>#N/A</v>
      </c>
      <c r="D25" s="496" t="e">
        <f>FST!R68</f>
        <v>#N/A</v>
      </c>
      <c r="E25" s="498" t="e">
        <f>FST!S68</f>
        <v>#N/A</v>
      </c>
      <c r="F25" s="665"/>
    </row>
    <row r="26" spans="1:6" ht="24" x14ac:dyDescent="0.2">
      <c r="A26" s="509" t="s">
        <v>870</v>
      </c>
      <c r="B26" s="504" t="s">
        <v>100</v>
      </c>
      <c r="C26" s="495" t="e">
        <f>FST!Q82</f>
        <v>#N/A</v>
      </c>
      <c r="D26" s="496" t="e">
        <f>FST!R82</f>
        <v>#N/A</v>
      </c>
      <c r="E26" s="498" t="e">
        <f>FST!S82</f>
        <v>#N/A</v>
      </c>
      <c r="F26" s="665"/>
    </row>
    <row r="27" spans="1:6" x14ac:dyDescent="0.2">
      <c r="A27" s="509" t="s">
        <v>870</v>
      </c>
      <c r="B27" s="504" t="s">
        <v>628</v>
      </c>
      <c r="C27" s="495" t="e">
        <f>FST!Q89</f>
        <v>#N/A</v>
      </c>
      <c r="D27" s="496" t="e">
        <f>FST!R89</f>
        <v>#N/A</v>
      </c>
      <c r="E27" s="498" t="e">
        <f>FST!S89</f>
        <v>#N/A</v>
      </c>
      <c r="F27" s="665"/>
    </row>
    <row r="28" spans="1:6" x14ac:dyDescent="0.2">
      <c r="A28" s="509" t="s">
        <v>870</v>
      </c>
      <c r="B28" s="679" t="s">
        <v>1718</v>
      </c>
      <c r="C28" s="495" t="e">
        <f>FST!Q91</f>
        <v>#N/A</v>
      </c>
      <c r="D28" s="496" t="e">
        <f>FST!R91</f>
        <v>#N/A</v>
      </c>
      <c r="E28" s="498" t="e">
        <f>FST!S91</f>
        <v>#N/A</v>
      </c>
      <c r="F28" s="665"/>
    </row>
    <row r="29" spans="1:6" x14ac:dyDescent="0.2">
      <c r="A29" s="509" t="s">
        <v>870</v>
      </c>
      <c r="B29" s="504" t="s">
        <v>190</v>
      </c>
      <c r="C29" s="495" t="e">
        <f>FST!Q92</f>
        <v>#N/A</v>
      </c>
      <c r="D29" s="496" t="e">
        <f>FST!R92</f>
        <v>#N/A</v>
      </c>
      <c r="E29" s="498" t="e">
        <f>FST!S92</f>
        <v>#N/A</v>
      </c>
      <c r="F29" s="665"/>
    </row>
    <row r="30" spans="1:6" x14ac:dyDescent="0.2">
      <c r="A30" s="509" t="s">
        <v>870</v>
      </c>
      <c r="B30" s="679" t="s">
        <v>1433</v>
      </c>
      <c r="C30" s="495" t="e">
        <f>FST!Q101</f>
        <v>#N/A</v>
      </c>
      <c r="D30" s="496" t="e">
        <f>FST!R101</f>
        <v>#N/A</v>
      </c>
      <c r="E30" s="498" t="e">
        <f>FST!S101</f>
        <v>#N/A</v>
      </c>
      <c r="F30" s="665"/>
    </row>
    <row r="31" spans="1:6" x14ac:dyDescent="0.2">
      <c r="A31" s="509" t="s">
        <v>870</v>
      </c>
      <c r="B31" s="679" t="s">
        <v>1435</v>
      </c>
      <c r="C31" s="495" t="e">
        <f>FST!Q115</f>
        <v>#N/A</v>
      </c>
      <c r="D31" s="496" t="e">
        <f>FST!R115</f>
        <v>#N/A</v>
      </c>
      <c r="E31" s="1013" t="e">
        <f>FST!S115</f>
        <v>#N/A</v>
      </c>
      <c r="F31" s="665"/>
    </row>
    <row r="32" spans="1:6" ht="24" x14ac:dyDescent="0.2">
      <c r="A32" s="509" t="s">
        <v>870</v>
      </c>
      <c r="B32" s="504" t="s">
        <v>526</v>
      </c>
      <c r="C32" s="495" t="e">
        <f>FST!Q131</f>
        <v>#N/A</v>
      </c>
      <c r="D32" s="496" t="e">
        <f>FST!R131</f>
        <v>#N/A</v>
      </c>
      <c r="E32" s="498" t="e">
        <f>FST!S131</f>
        <v>#N/A</v>
      </c>
      <c r="F32" s="665"/>
    </row>
    <row r="33" spans="1:6" ht="24" x14ac:dyDescent="0.2">
      <c r="A33" s="509" t="s">
        <v>870</v>
      </c>
      <c r="B33" s="504" t="s">
        <v>79</v>
      </c>
      <c r="C33" s="495" t="e">
        <f>FST!Q134</f>
        <v>#N/A</v>
      </c>
      <c r="D33" s="496" t="e">
        <f>FST!R134</f>
        <v>#N/A</v>
      </c>
      <c r="E33" s="498" t="e">
        <f>FST!S134</f>
        <v>#N/A</v>
      </c>
      <c r="F33" s="665"/>
    </row>
    <row r="34" spans="1:6" ht="24" x14ac:dyDescent="0.2">
      <c r="A34" s="509" t="s">
        <v>870</v>
      </c>
      <c r="B34" s="504" t="s">
        <v>80</v>
      </c>
      <c r="C34" s="495" t="e">
        <f>FST!Q138</f>
        <v>#N/A</v>
      </c>
      <c r="D34" s="496" t="e">
        <f>FST!R138</f>
        <v>#N/A</v>
      </c>
      <c r="E34" s="498" t="e">
        <f>FST!S138</f>
        <v>#N/A</v>
      </c>
      <c r="F34" s="665"/>
    </row>
    <row r="35" spans="1:6" x14ac:dyDescent="0.2">
      <c r="A35" s="509" t="s">
        <v>870</v>
      </c>
      <c r="B35" s="504" t="s">
        <v>518</v>
      </c>
      <c r="C35" s="495" t="e">
        <f>FST!Q139</f>
        <v>#N/A</v>
      </c>
      <c r="D35" s="496" t="e">
        <f>FST!R139</f>
        <v>#N/A</v>
      </c>
      <c r="E35" s="498" t="e">
        <f>FST!S139</f>
        <v>#N/A</v>
      </c>
      <c r="F35" s="665"/>
    </row>
    <row r="36" spans="1:6" x14ac:dyDescent="0.2">
      <c r="A36" s="509" t="s">
        <v>870</v>
      </c>
      <c r="B36" s="504" t="s">
        <v>216</v>
      </c>
      <c r="C36" s="495" t="e">
        <f>FST!Q140</f>
        <v>#N/A</v>
      </c>
      <c r="D36" s="496" t="e">
        <f>FST!R140</f>
        <v>#N/A</v>
      </c>
      <c r="E36" s="498" t="e">
        <f>FST!S140</f>
        <v>#N/A</v>
      </c>
      <c r="F36" s="665"/>
    </row>
    <row r="37" spans="1:6" ht="24" x14ac:dyDescent="0.2">
      <c r="A37" s="509" t="s">
        <v>870</v>
      </c>
      <c r="B37" s="504" t="s">
        <v>234</v>
      </c>
      <c r="C37" s="495" t="e">
        <f>FST!Q141</f>
        <v>#N/A</v>
      </c>
      <c r="D37" s="496" t="e">
        <f>FST!R141</f>
        <v>#N/A</v>
      </c>
      <c r="E37" s="498" t="e">
        <f>FST!S141</f>
        <v>#N/A</v>
      </c>
      <c r="F37" s="665"/>
    </row>
    <row r="38" spans="1:6" ht="24" x14ac:dyDescent="0.2">
      <c r="A38" s="509" t="s">
        <v>870</v>
      </c>
      <c r="B38" s="504" t="s">
        <v>478</v>
      </c>
      <c r="C38" s="495" t="e">
        <f>FST!Q143</f>
        <v>#N/A</v>
      </c>
      <c r="D38" s="496" t="e">
        <f>FST!R143</f>
        <v>#N/A</v>
      </c>
      <c r="E38" s="498" t="e">
        <f>FST!S143</f>
        <v>#N/A</v>
      </c>
      <c r="F38" s="665"/>
    </row>
    <row r="39" spans="1:6" x14ac:dyDescent="0.2">
      <c r="A39" s="509" t="s">
        <v>870</v>
      </c>
      <c r="B39" s="504" t="s">
        <v>180</v>
      </c>
      <c r="C39" s="495" t="e">
        <f>FST!Q144</f>
        <v>#N/A</v>
      </c>
      <c r="D39" s="496" t="e">
        <f>FST!R144</f>
        <v>#N/A</v>
      </c>
      <c r="E39" s="498" t="e">
        <f>FST!S144</f>
        <v>#N/A</v>
      </c>
      <c r="F39" s="665"/>
    </row>
    <row r="40" spans="1:6" ht="24" x14ac:dyDescent="0.2">
      <c r="A40" s="509" t="s">
        <v>870</v>
      </c>
      <c r="B40" s="504" t="s">
        <v>181</v>
      </c>
      <c r="C40" s="495" t="e">
        <f>FST!Q145</f>
        <v>#N/A</v>
      </c>
      <c r="D40" s="496" t="e">
        <f>FST!R145</f>
        <v>#N/A</v>
      </c>
      <c r="E40" s="498" t="e">
        <f>FST!S145</f>
        <v>#N/A</v>
      </c>
      <c r="F40" s="665"/>
    </row>
    <row r="41" spans="1:6" ht="24" x14ac:dyDescent="0.2">
      <c r="A41" s="509" t="s">
        <v>870</v>
      </c>
      <c r="B41" s="679" t="s">
        <v>926</v>
      </c>
      <c r="C41" s="495" t="e">
        <f>FST!Q146</f>
        <v>#N/A</v>
      </c>
      <c r="D41" s="496" t="e">
        <f>FST!R146</f>
        <v>#N/A</v>
      </c>
      <c r="E41" s="498" t="e">
        <f>FST!S146</f>
        <v>#N/A</v>
      </c>
      <c r="F41" s="665"/>
    </row>
    <row r="42" spans="1:6" ht="24" x14ac:dyDescent="0.2">
      <c r="A42" s="509" t="s">
        <v>870</v>
      </c>
      <c r="B42" s="504" t="s">
        <v>182</v>
      </c>
      <c r="C42" s="495" t="e">
        <f>FST!Q147</f>
        <v>#N/A</v>
      </c>
      <c r="D42" s="496" t="e">
        <f>FST!R147</f>
        <v>#N/A</v>
      </c>
      <c r="E42" s="498" t="e">
        <f>FST!S147</f>
        <v>#N/A</v>
      </c>
      <c r="F42" s="665"/>
    </row>
    <row r="43" spans="1:6" ht="24" x14ac:dyDescent="0.2">
      <c r="A43" s="509" t="s">
        <v>870</v>
      </c>
      <c r="B43" s="504" t="s">
        <v>345</v>
      </c>
      <c r="C43" s="495" t="e">
        <f>FST!Q153</f>
        <v>#N/A</v>
      </c>
      <c r="D43" s="496" t="e">
        <f>FST!R153</f>
        <v>#N/A</v>
      </c>
      <c r="E43" s="506" t="e">
        <f>FST!S153</f>
        <v>#N/A</v>
      </c>
      <c r="F43" s="665"/>
    </row>
    <row r="44" spans="1:6" ht="24" x14ac:dyDescent="0.2">
      <c r="A44" s="509" t="s">
        <v>870</v>
      </c>
      <c r="B44" s="504" t="s">
        <v>346</v>
      </c>
      <c r="C44" s="495" t="e">
        <f>FST!Q154</f>
        <v>#N/A</v>
      </c>
      <c r="D44" s="496" t="e">
        <f>FST!R154</f>
        <v>#N/A</v>
      </c>
      <c r="E44" s="506" t="e">
        <f>FST!S154</f>
        <v>#N/A</v>
      </c>
      <c r="F44" s="665"/>
    </row>
    <row r="45" spans="1:6" ht="24" x14ac:dyDescent="0.2">
      <c r="A45" s="509" t="s">
        <v>870</v>
      </c>
      <c r="B45" s="504" t="s">
        <v>331</v>
      </c>
      <c r="C45" s="495" t="e">
        <f>FST!Q158</f>
        <v>#N/A</v>
      </c>
      <c r="D45" s="496" t="e">
        <f>FST!R158</f>
        <v>#N/A</v>
      </c>
      <c r="E45" s="506" t="e">
        <f>FST!S158</f>
        <v>#N/A</v>
      </c>
      <c r="F45" s="665"/>
    </row>
    <row r="46" spans="1:6" ht="24" x14ac:dyDescent="0.2">
      <c r="A46" s="509" t="s">
        <v>870</v>
      </c>
      <c r="B46" s="504" t="s">
        <v>332</v>
      </c>
      <c r="C46" s="495" t="e">
        <f>FST!Q162</f>
        <v>#N/A</v>
      </c>
      <c r="D46" s="496" t="e">
        <f>FST!R162</f>
        <v>#N/A</v>
      </c>
      <c r="E46" s="506" t="e">
        <f>FST!S162</f>
        <v>#N/A</v>
      </c>
      <c r="F46" s="665"/>
    </row>
    <row r="47" spans="1:6" ht="24" x14ac:dyDescent="0.2">
      <c r="A47" s="509" t="s">
        <v>870</v>
      </c>
      <c r="B47" s="504" t="s">
        <v>649</v>
      </c>
      <c r="C47" s="495" t="e">
        <f>FST!Q163</f>
        <v>#N/A</v>
      </c>
      <c r="D47" s="496" t="e">
        <f>FST!R163</f>
        <v>#N/A</v>
      </c>
      <c r="E47" s="506" t="e">
        <f>FST!S163</f>
        <v>#N/A</v>
      </c>
      <c r="F47" s="665"/>
    </row>
    <row r="48" spans="1:6" ht="36" x14ac:dyDescent="0.2">
      <c r="A48" s="509" t="s">
        <v>870</v>
      </c>
      <c r="B48" s="504" t="s">
        <v>650</v>
      </c>
      <c r="C48" s="495" t="e">
        <f>FST!Q164</f>
        <v>#N/A</v>
      </c>
      <c r="D48" s="496" t="e">
        <f>FST!R164</f>
        <v>#N/A</v>
      </c>
      <c r="E48" s="506" t="e">
        <f>FST!S164</f>
        <v>#N/A</v>
      </c>
      <c r="F48" s="665"/>
    </row>
    <row r="49" spans="1:6" ht="24" x14ac:dyDescent="0.2">
      <c r="A49" s="509" t="s">
        <v>870</v>
      </c>
      <c r="B49" s="504" t="s">
        <v>651</v>
      </c>
      <c r="C49" s="495" t="e">
        <f>FST!Q165</f>
        <v>#N/A</v>
      </c>
      <c r="D49" s="496" t="e">
        <f>FST!R165</f>
        <v>#N/A</v>
      </c>
      <c r="E49" s="506" t="e">
        <f>FST!S165</f>
        <v>#N/A</v>
      </c>
      <c r="F49" s="665"/>
    </row>
    <row r="50" spans="1:6" ht="36" x14ac:dyDescent="0.2">
      <c r="A50" s="509" t="s">
        <v>870</v>
      </c>
      <c r="B50" s="504" t="s">
        <v>360</v>
      </c>
      <c r="C50" s="495" t="e">
        <f>FST!Q169</f>
        <v>#N/A</v>
      </c>
      <c r="D50" s="496" t="e">
        <f>FST!R169</f>
        <v>#N/A</v>
      </c>
      <c r="E50" s="506" t="e">
        <f>FST!S169</f>
        <v>#N/A</v>
      </c>
      <c r="F50" s="665"/>
    </row>
    <row r="51" spans="1:6" ht="24" x14ac:dyDescent="0.2">
      <c r="A51" s="509" t="s">
        <v>870</v>
      </c>
      <c r="B51" s="504" t="s">
        <v>635</v>
      </c>
      <c r="C51" s="495" t="e">
        <f>FST!Q170</f>
        <v>#N/A</v>
      </c>
      <c r="D51" s="496" t="e">
        <f>FST!R170</f>
        <v>#N/A</v>
      </c>
      <c r="E51" s="506" t="e">
        <f>FST!S170</f>
        <v>#N/A</v>
      </c>
      <c r="F51" s="665"/>
    </row>
    <row r="52" spans="1:6" ht="36" x14ac:dyDescent="0.2">
      <c r="A52" s="509" t="s">
        <v>870</v>
      </c>
      <c r="B52" s="504" t="s">
        <v>361</v>
      </c>
      <c r="C52" s="495" t="e">
        <f>FST!Q174</f>
        <v>#N/A</v>
      </c>
      <c r="D52" s="496" t="e">
        <f>FST!R174</f>
        <v>#N/A</v>
      </c>
      <c r="E52" s="506" t="e">
        <f>FST!S174</f>
        <v>#N/A</v>
      </c>
      <c r="F52" s="665"/>
    </row>
    <row r="53" spans="1:6" ht="24" x14ac:dyDescent="0.2">
      <c r="A53" s="509" t="s">
        <v>870</v>
      </c>
      <c r="B53" s="504" t="s">
        <v>362</v>
      </c>
      <c r="C53" s="495" t="e">
        <f>FST!Q178</f>
        <v>#N/A</v>
      </c>
      <c r="D53" s="496" t="e">
        <f>FST!R178</f>
        <v>#N/A</v>
      </c>
      <c r="E53" s="506" t="e">
        <f>FST!S178</f>
        <v>#N/A</v>
      </c>
      <c r="F53" s="665"/>
    </row>
    <row r="54" spans="1:6" ht="24" x14ac:dyDescent="0.2">
      <c r="A54" s="509" t="s">
        <v>870</v>
      </c>
      <c r="B54" s="504" t="s">
        <v>363</v>
      </c>
      <c r="C54" s="495" t="e">
        <f>FST!Q179</f>
        <v>#N/A</v>
      </c>
      <c r="D54" s="496" t="e">
        <f>FST!R179</f>
        <v>#N/A</v>
      </c>
      <c r="E54" s="506" t="e">
        <f>FST!S179</f>
        <v>#N/A</v>
      </c>
      <c r="F54" s="665"/>
    </row>
    <row r="55" spans="1:6" ht="36" x14ac:dyDescent="0.2">
      <c r="A55" s="509" t="s">
        <v>870</v>
      </c>
      <c r="B55" s="504" t="s">
        <v>320</v>
      </c>
      <c r="C55" s="495" t="e">
        <f>FST!Q180</f>
        <v>#N/A</v>
      </c>
      <c r="D55" s="496" t="e">
        <f>FST!R180</f>
        <v>#N/A</v>
      </c>
      <c r="E55" s="506" t="e">
        <f>FST!S180</f>
        <v>#N/A</v>
      </c>
      <c r="F55" s="665"/>
    </row>
    <row r="56" spans="1:6" ht="36" x14ac:dyDescent="0.2">
      <c r="A56" s="509" t="s">
        <v>870</v>
      </c>
      <c r="B56" s="504" t="s">
        <v>321</v>
      </c>
      <c r="C56" s="495" t="e">
        <f>FST!Q181</f>
        <v>#N/A</v>
      </c>
      <c r="D56" s="496" t="e">
        <f>FST!R181</f>
        <v>#N/A</v>
      </c>
      <c r="E56" s="506" t="e">
        <f>FST!S181</f>
        <v>#N/A</v>
      </c>
      <c r="F56" s="665"/>
    </row>
    <row r="57" spans="1:6" ht="36" x14ac:dyDescent="0.2">
      <c r="A57" s="509" t="s">
        <v>870</v>
      </c>
      <c r="B57" s="504" t="s">
        <v>252</v>
      </c>
      <c r="C57" s="495" t="e">
        <f>FST!Q186</f>
        <v>#N/A</v>
      </c>
      <c r="D57" s="496" t="e">
        <f>FST!R186</f>
        <v>#N/A</v>
      </c>
      <c r="E57" s="498" t="e">
        <f>FST!S186</f>
        <v>#N/A</v>
      </c>
      <c r="F57" s="665"/>
    </row>
    <row r="58" spans="1:6" ht="24" x14ac:dyDescent="0.2">
      <c r="A58" s="509" t="s">
        <v>870</v>
      </c>
      <c r="B58" s="504" t="s">
        <v>589</v>
      </c>
      <c r="C58" s="495" t="e">
        <f>FST!Q187</f>
        <v>#N/A</v>
      </c>
      <c r="D58" s="496" t="e">
        <f>FST!R187</f>
        <v>#N/A</v>
      </c>
      <c r="E58" s="498" t="e">
        <f>FST!S187</f>
        <v>#N/A</v>
      </c>
      <c r="F58" s="665"/>
    </row>
    <row r="59" spans="1:6" ht="24" x14ac:dyDescent="0.2">
      <c r="A59" s="509" t="s">
        <v>870</v>
      </c>
      <c r="B59" s="679" t="s">
        <v>871</v>
      </c>
      <c r="C59" s="495" t="e">
        <f>FST!Q197</f>
        <v>#N/A</v>
      </c>
      <c r="D59" s="496" t="e">
        <f>FST!R197</f>
        <v>#N/A</v>
      </c>
      <c r="E59" s="498" t="e">
        <f>FST!S197</f>
        <v>#N/A</v>
      </c>
      <c r="F59" s="665"/>
    </row>
    <row r="60" spans="1:6" ht="24" x14ac:dyDescent="0.2">
      <c r="A60" s="509" t="s">
        <v>870</v>
      </c>
      <c r="B60" s="679" t="s">
        <v>1035</v>
      </c>
      <c r="C60" s="495" t="e">
        <f>FST!Q206</f>
        <v>#N/A</v>
      </c>
      <c r="D60" s="496" t="e">
        <f>FST!R206</f>
        <v>#N/A</v>
      </c>
      <c r="E60" s="498" t="e">
        <f>FST!S206</f>
        <v>#N/A</v>
      </c>
      <c r="F60" s="665"/>
    </row>
    <row r="61" spans="1:6" ht="24" x14ac:dyDescent="0.2">
      <c r="A61" s="509" t="s">
        <v>870</v>
      </c>
      <c r="B61" s="679" t="s">
        <v>1036</v>
      </c>
      <c r="C61" s="495" t="e">
        <f>FST!Q220</f>
        <v>#N/A</v>
      </c>
      <c r="D61" s="496" t="e">
        <f>FST!R220</f>
        <v>#N/A</v>
      </c>
      <c r="E61" s="498" t="e">
        <f>FST!S220</f>
        <v>#N/A</v>
      </c>
      <c r="F61" s="665"/>
    </row>
    <row r="62" spans="1:6" x14ac:dyDescent="0.2">
      <c r="A62" s="509" t="s">
        <v>870</v>
      </c>
      <c r="B62" s="679" t="s">
        <v>874</v>
      </c>
      <c r="C62" s="495" t="e">
        <f>FST!Q224</f>
        <v>#N/A</v>
      </c>
      <c r="D62" s="496" t="e">
        <f>FST!R224</f>
        <v>#N/A</v>
      </c>
      <c r="E62" s="498" t="e">
        <f>FST!S224</f>
        <v>#N/A</v>
      </c>
      <c r="F62" s="665"/>
    </row>
    <row r="63" spans="1:6" ht="24" x14ac:dyDescent="0.2">
      <c r="A63" s="509" t="s">
        <v>136</v>
      </c>
      <c r="B63" s="504" t="s">
        <v>590</v>
      </c>
      <c r="C63" s="495" t="e">
        <f>FST!Q235</f>
        <v>#N/A</v>
      </c>
      <c r="D63" s="496" t="e">
        <f>FST!R235</f>
        <v>#N/A</v>
      </c>
      <c r="E63" s="498" t="e">
        <f>FST!S235</f>
        <v>#N/A</v>
      </c>
      <c r="F63" s="665"/>
    </row>
    <row r="64" spans="1:6" ht="24" x14ac:dyDescent="0.2">
      <c r="A64" s="509" t="s">
        <v>136</v>
      </c>
      <c r="B64" s="504" t="s">
        <v>618</v>
      </c>
      <c r="C64" s="495" t="e">
        <f>FST!Q236</f>
        <v>#N/A</v>
      </c>
      <c r="D64" s="496" t="e">
        <f>FST!R236</f>
        <v>#N/A</v>
      </c>
      <c r="E64" s="498" t="e">
        <f>FST!S236</f>
        <v>#N/A</v>
      </c>
      <c r="F64" s="665"/>
    </row>
    <row r="65" spans="1:6" ht="24" x14ac:dyDescent="0.2">
      <c r="A65" s="509" t="s">
        <v>136</v>
      </c>
      <c r="B65" s="504" t="s">
        <v>644</v>
      </c>
      <c r="C65" s="495" t="e">
        <f>FST!Q237</f>
        <v>#N/A</v>
      </c>
      <c r="D65" s="496" t="e">
        <f>FST!R237</f>
        <v>#N/A</v>
      </c>
      <c r="E65" s="498" t="e">
        <f>FST!S237</f>
        <v>#N/A</v>
      </c>
      <c r="F65" s="665"/>
    </row>
    <row r="66" spans="1:6" ht="24" x14ac:dyDescent="0.2">
      <c r="A66" s="509" t="s">
        <v>136</v>
      </c>
      <c r="B66" s="504" t="s">
        <v>122</v>
      </c>
      <c r="C66" s="495" t="e">
        <f>FST!Q240</f>
        <v>#N/A</v>
      </c>
      <c r="D66" s="496" t="e">
        <f>FST!R240</f>
        <v>#N/A</v>
      </c>
      <c r="E66" s="498" t="e">
        <f>FST!S240</f>
        <v>#N/A</v>
      </c>
      <c r="F66" s="665"/>
    </row>
    <row r="67" spans="1:6" ht="36" x14ac:dyDescent="0.2">
      <c r="A67" s="509" t="s">
        <v>136</v>
      </c>
      <c r="B67" s="504" t="s">
        <v>642</v>
      </c>
      <c r="C67" s="495" t="e">
        <f>FST!Q241</f>
        <v>#N/A</v>
      </c>
      <c r="D67" s="496" t="e">
        <f>FST!R241</f>
        <v>#N/A</v>
      </c>
      <c r="E67" s="498" t="e">
        <f>FST!S241</f>
        <v>#N/A</v>
      </c>
      <c r="F67" s="665"/>
    </row>
    <row r="68" spans="1:6" ht="24" x14ac:dyDescent="0.2">
      <c r="A68" s="509" t="s">
        <v>136</v>
      </c>
      <c r="B68" s="504" t="s">
        <v>417</v>
      </c>
      <c r="C68" s="505" t="e">
        <f>FST!Q261</f>
        <v>#N/A</v>
      </c>
      <c r="D68" s="503" t="e">
        <f>FST!R261</f>
        <v>#N/A</v>
      </c>
      <c r="E68" s="499" t="e">
        <f>FST!S261</f>
        <v>#N/A</v>
      </c>
      <c r="F68" s="665"/>
    </row>
    <row r="69" spans="1:6" x14ac:dyDescent="0.2">
      <c r="A69" s="509" t="s">
        <v>136</v>
      </c>
      <c r="B69" s="504" t="s">
        <v>418</v>
      </c>
      <c r="C69" s="505" t="e">
        <f>FST!Q262</f>
        <v>#N/A</v>
      </c>
      <c r="D69" s="503" t="e">
        <f>FST!R262</f>
        <v>#N/A</v>
      </c>
      <c r="E69" s="499" t="e">
        <f>FST!S262</f>
        <v>#N/A</v>
      </c>
      <c r="F69" s="665"/>
    </row>
    <row r="70" spans="1:6" x14ac:dyDescent="0.2">
      <c r="A70" s="509" t="s">
        <v>136</v>
      </c>
      <c r="B70" s="504" t="s">
        <v>419</v>
      </c>
      <c r="C70" s="505" t="e">
        <f>FST!Q264</f>
        <v>#N/A</v>
      </c>
      <c r="D70" s="503" t="e">
        <f>FST!R264</f>
        <v>#N/A</v>
      </c>
      <c r="E70" s="499" t="e">
        <f>FST!S264</f>
        <v>#N/A</v>
      </c>
      <c r="F70" s="665"/>
    </row>
    <row r="71" spans="1:6" ht="36" x14ac:dyDescent="0.2">
      <c r="A71" s="509" t="s">
        <v>136</v>
      </c>
      <c r="B71" s="504" t="s">
        <v>420</v>
      </c>
      <c r="C71" s="505" t="e">
        <f>FST!Q265</f>
        <v>#N/A</v>
      </c>
      <c r="D71" s="503" t="e">
        <f>FST!R265</f>
        <v>#N/A</v>
      </c>
      <c r="E71" s="499" t="e">
        <f>FST!S265</f>
        <v>#N/A</v>
      </c>
      <c r="F71" s="665"/>
    </row>
    <row r="72" spans="1:6" ht="24" x14ac:dyDescent="0.2">
      <c r="A72" s="509" t="s">
        <v>136</v>
      </c>
      <c r="B72" s="679" t="s">
        <v>1372</v>
      </c>
      <c r="C72" s="505" t="e">
        <f>FST!Q266</f>
        <v>#N/A</v>
      </c>
      <c r="D72" s="503" t="e">
        <f>FST!R266</f>
        <v>#N/A</v>
      </c>
      <c r="E72" s="499" t="e">
        <f>FST!S266</f>
        <v>#N/A</v>
      </c>
      <c r="F72" s="665"/>
    </row>
    <row r="73" spans="1:6" ht="24" x14ac:dyDescent="0.2">
      <c r="A73" s="509" t="s">
        <v>136</v>
      </c>
      <c r="B73" s="504" t="s">
        <v>124</v>
      </c>
      <c r="C73" s="495" t="e">
        <f>FST!Q270</f>
        <v>#N/A</v>
      </c>
      <c r="D73" s="503" t="e">
        <f>FST!R270</f>
        <v>#N/A</v>
      </c>
      <c r="E73" s="499" t="e">
        <f>FST!S270</f>
        <v>#N/A</v>
      </c>
      <c r="F73" s="665"/>
    </row>
    <row r="74" spans="1:6" ht="24" x14ac:dyDescent="0.2">
      <c r="A74" s="509" t="s">
        <v>136</v>
      </c>
      <c r="B74" s="504" t="s">
        <v>125</v>
      </c>
      <c r="C74" s="495" t="e">
        <f>FST!Q271</f>
        <v>#N/A</v>
      </c>
      <c r="D74" s="503" t="e">
        <f>FST!R271</f>
        <v>#N/A</v>
      </c>
      <c r="E74" s="499" t="e">
        <f>FST!S271</f>
        <v>#N/A</v>
      </c>
      <c r="F74" s="665"/>
    </row>
    <row r="75" spans="1:6" ht="24" x14ac:dyDescent="0.2">
      <c r="A75" s="509" t="s">
        <v>136</v>
      </c>
      <c r="B75" s="504" t="s">
        <v>126</v>
      </c>
      <c r="C75" s="495" t="e">
        <f>FST!Q272</f>
        <v>#N/A</v>
      </c>
      <c r="D75" s="503" t="e">
        <f>FST!R272</f>
        <v>#N/A</v>
      </c>
      <c r="E75" s="499" t="e">
        <f>FST!S272</f>
        <v>#N/A</v>
      </c>
      <c r="F75" s="665"/>
    </row>
    <row r="76" spans="1:6" ht="24" x14ac:dyDescent="0.2">
      <c r="A76" s="509" t="s">
        <v>136</v>
      </c>
      <c r="B76" s="504" t="s">
        <v>519</v>
      </c>
      <c r="C76" s="495" t="e">
        <f>FST!Q273</f>
        <v>#N/A</v>
      </c>
      <c r="D76" s="503" t="e">
        <f>FST!R273</f>
        <v>#N/A</v>
      </c>
      <c r="E76" s="499" t="e">
        <f>FST!S273</f>
        <v>#N/A</v>
      </c>
      <c r="F76" s="665"/>
    </row>
    <row r="77" spans="1:6" x14ac:dyDescent="0.2">
      <c r="A77" s="509" t="s">
        <v>136</v>
      </c>
      <c r="B77" s="504" t="s">
        <v>421</v>
      </c>
      <c r="C77" s="505" t="e">
        <f>FST!Q278</f>
        <v>#N/A</v>
      </c>
      <c r="D77" s="503" t="e">
        <f>FST!R278</f>
        <v>#N/A</v>
      </c>
      <c r="E77" s="499" t="e">
        <f>FST!S278</f>
        <v>#N/A</v>
      </c>
      <c r="F77" s="665"/>
    </row>
    <row r="78" spans="1:6" x14ac:dyDescent="0.2">
      <c r="A78" s="509" t="s">
        <v>136</v>
      </c>
      <c r="B78" s="504" t="s">
        <v>422</v>
      </c>
      <c r="C78" s="505" t="e">
        <f>FST!Q279</f>
        <v>#N/A</v>
      </c>
      <c r="D78" s="503" t="e">
        <f>FST!R279</f>
        <v>#N/A</v>
      </c>
      <c r="E78" s="499" t="e">
        <f>FST!S279</f>
        <v>#N/A</v>
      </c>
      <c r="F78" s="665"/>
    </row>
    <row r="79" spans="1:6" x14ac:dyDescent="0.2">
      <c r="A79" s="510"/>
      <c r="C79" s="274"/>
      <c r="D79" s="502"/>
    </row>
    <row r="80" spans="1:6" x14ac:dyDescent="0.2">
      <c r="A80" s="510"/>
      <c r="C80" s="274"/>
      <c r="D80" s="502"/>
    </row>
    <row r="81" spans="1:4" x14ac:dyDescent="0.2">
      <c r="A81" s="510"/>
      <c r="C81" s="274"/>
      <c r="D81" s="502"/>
    </row>
    <row r="82" spans="1:4" x14ac:dyDescent="0.2">
      <c r="A82" s="510"/>
    </row>
    <row r="83" spans="1:4" x14ac:dyDescent="0.2">
      <c r="A83" s="510"/>
    </row>
    <row r="84" spans="1:4" x14ac:dyDescent="0.2">
      <c r="A84" s="510"/>
    </row>
    <row r="85" spans="1:4" x14ac:dyDescent="0.2">
      <c r="A85" s="510"/>
    </row>
    <row r="86" spans="1:4" x14ac:dyDescent="0.2">
      <c r="A86" s="510"/>
    </row>
    <row r="87" spans="1:4" x14ac:dyDescent="0.2">
      <c r="A87" s="510"/>
    </row>
    <row r="88" spans="1:4" x14ac:dyDescent="0.2">
      <c r="A88" s="510"/>
    </row>
    <row r="89" spans="1:4" x14ac:dyDescent="0.2">
      <c r="A89" s="510"/>
    </row>
    <row r="90" spans="1:4" x14ac:dyDescent="0.2">
      <c r="A90" s="510"/>
    </row>
    <row r="91" spans="1:4" x14ac:dyDescent="0.2">
      <c r="A91" s="510"/>
    </row>
    <row r="92" spans="1:4" x14ac:dyDescent="0.2">
      <c r="A92" s="510"/>
    </row>
    <row r="93" spans="1:4" x14ac:dyDescent="0.2">
      <c r="A93" s="510"/>
    </row>
    <row r="94" spans="1:4" x14ac:dyDescent="0.2">
      <c r="A94" s="510"/>
    </row>
    <row r="95" spans="1:4" x14ac:dyDescent="0.2">
      <c r="A95" s="510"/>
    </row>
    <row r="96" spans="1:4" x14ac:dyDescent="0.2">
      <c r="A96" s="510"/>
    </row>
    <row r="97" spans="1:1" x14ac:dyDescent="0.2">
      <c r="A97" s="510"/>
    </row>
    <row r="98" spans="1:1" x14ac:dyDescent="0.2">
      <c r="A98" s="510"/>
    </row>
  </sheetData>
  <sheetProtection algorithmName="SHA-512" hashValue="8yp9ocy5QF+qOmkUU1G9TMe0erE3TJRMcYQjKeDjYCFVcEIMTonicJy/dQMMdjvcCCN5EFrHgY8kxBV9P17kGQ==" saltValue="STjtbxcdLsrXUsNCX74L8A==" spinCount="100000" sheet="1" objects="1" scenarios="1" autoFilter="0"/>
  <autoFilter ref="E15:E78" xr:uid="{00000000-0009-0000-0000-000008000000}"/>
  <mergeCells count="7">
    <mergeCell ref="C1:F1"/>
    <mergeCell ref="C6:F6"/>
    <mergeCell ref="C14:E14"/>
    <mergeCell ref="C2:F2"/>
    <mergeCell ref="C3:F3"/>
    <mergeCell ref="C4:F4"/>
    <mergeCell ref="C5:F5"/>
  </mergeCells>
  <phoneticPr fontId="12" type="noConversion"/>
  <dataValidations count="2">
    <dataValidation allowBlank="1" showInputMessage="1" showErrorMessage="1" error="Enter whole number." sqref="B43:E44" xr:uid="{00000000-0002-0000-0800-000000000000}"/>
    <dataValidation type="whole" allowBlank="1" showInputMessage="1" showErrorMessage="1" error="Enter a 3-digit agency control number." sqref="C1:F1" xr:uid="{00000000-0002-0000-0800-000001000000}">
      <formula1>100</formula1>
      <formula2>999</formula2>
    </dataValidation>
  </dataValidations>
  <pageMargins left="0.7" right="0.5" top="0.82" bottom="0.5" header="0.38" footer="0.17"/>
  <pageSetup scale="71" fitToHeight="0" orientation="portrait" cellComments="asDisplayed" r:id="rId1"/>
  <headerFooter alignWithMargins="0">
    <oddHeader>&amp;C&amp;"Arial,Bold"&amp;12Attachment HE-10
Financial Statement Template
&amp;A</oddHeader>
    <oddFooter>&amp;L&amp;"Arial,Regular"&amp;F \ &amp;A&amp;R&amp;"Arial,Regular"Page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M m l k W F I 5 3 / e j A A A A 9 w A A A B I A H A B D b 2 5 m a W c v U G F j a 2 F n Z S 5 4 b W w g o h g A K K A U A A A A A A A A A A A A A A A A A A A A A A A A A A A A h Y + 9 D o I w G E V f h X S n f y y G f J T B V R I T o n F t S o V G K I Y W y 7 s 5 + E i + g h h F 3 R z v u W e 4 9 3 6 9 Q T 5 1 b X T R g z O 9 z R D D F E X a q r 4 y t s 7 Q 6 I / x C u U C t l K d Z K 2 j W b Y u n V y V o c b 7 c 0 p I C A G H B P d D T T i l j B y K T a k a 3 U n 0 k c 1 / O T b W e W m V R g L 2 r z G C Y 8 Y T z C j n m A J Z K B T G f g 0 + D 3 6 2 P x D W Y + v H Q Q t t 4 1 0 J Z I l A 3 i f E A 1 B L A w Q U A A I A C A A y a W R 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m l k W C i K R 7 g O A A A A E Q A A A B M A H A B G b 3 J t d W x h c y 9 T Z W N 0 a W 9 u M S 5 t I K I Y A C i g F A A A A A A A A A A A A A A A A A A A A A A A A A A A A C t O T S 7 J z M 9 T C I b Q h t Y A U E s B A i 0 A F A A C A A g A M m l k W F I 5 3 / e j A A A A 9 w A A A B I A A A A A A A A A A A A A A A A A A A A A A E N v b m Z p Z y 9 Q Y W N r Y W d l L n h t b F B L A Q I t A B Q A A g A I A D J p Z F g P y u m r p A A A A O k A A A A T A A A A A A A A A A A A A A A A A O 8 A A A B b Q 2 9 u d G V u d F 9 U e X B l c 1 0 u e G 1 s U E s B A i 0 A F A A C A A g A M m l k W 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Z f b m g h 9 Q d K h d q k s C 0 H k L U A A A A A A g A A A A A A A 2 Y A A M A A A A A Q A A A A G P 0 / 6 f U W 4 K L h B r D z 3 i o c / w A A A A A E g A A A o A A A A B A A A A A Q h h E 5 A m 8 u W e e o + R y W m n y L U A A A A J P 5 y A 5 q 8 J + H x x C d P h U u A E p c r 1 r 6 9 x / W o B / X g l G x 9 p v J y O R 7 y V r B O F 8 j P f x 1 8 u Q 6 c E m u N / L x g e N f Z l v x B X W o b d E J x 6 X p g W Q 2 i 4 H h N z R s M l u T F A A A A K Z b P N d O g V d F X t V x F e r Y u e x 3 q O g L < / D a t a M a s h u p > 
</file>

<file path=customXml/itemProps1.xml><?xml version="1.0" encoding="utf-8"?>
<ds:datastoreItem xmlns:ds="http://schemas.openxmlformats.org/officeDocument/2006/customXml" ds:itemID="{D1281409-072E-4B5D-8CC4-FBF00B2FF3B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26</vt:i4>
      </vt:variant>
    </vt:vector>
  </HeadingPairs>
  <TitlesOfParts>
    <vt:vector size="57" baseType="lpstr">
      <vt:lpstr>HEI-PY FST $</vt:lpstr>
      <vt:lpstr>Foundation-PY FST $</vt:lpstr>
      <vt:lpstr>HEI-PY Capital Assets</vt:lpstr>
      <vt:lpstr>HEI-PY LT Liabilities</vt:lpstr>
      <vt:lpstr>FST</vt:lpstr>
      <vt:lpstr>Combining FST</vt:lpstr>
      <vt:lpstr>Elimination Entries to FST</vt:lpstr>
      <vt:lpstr>HEI Flux</vt:lpstr>
      <vt:lpstr>Foundation Flux </vt:lpstr>
      <vt:lpstr>Checklist</vt:lpstr>
      <vt:lpstr>TAB 1A, GASBS 3</vt:lpstr>
      <vt:lpstr>TAB 2, Receivables</vt:lpstr>
      <vt:lpstr>TAB 3, Capital Assets</vt:lpstr>
      <vt:lpstr>TAB 5, LT Liabilities</vt:lpstr>
      <vt:lpstr>TAB 6, Commitments</vt:lpstr>
      <vt:lpstr>TAB 7, Miscellaneous</vt:lpstr>
      <vt:lpstr>TAB 8, Short-Term Debt</vt:lpstr>
      <vt:lpstr>TAB 9, Net Inv in Cap Assets</vt:lpstr>
      <vt:lpstr>TAB F1,  Cash,  Cash Eqv &amp; Inv</vt:lpstr>
      <vt:lpstr>TAB F2, SNAP &amp; LGIP</vt:lpstr>
      <vt:lpstr>TAB F3,  Receivables </vt:lpstr>
      <vt:lpstr>TAB F4,  Capital Assets</vt:lpstr>
      <vt:lpstr>TAB F5,  LT Liabilities</vt:lpstr>
      <vt:lpstr>TAB F5.1, LT Liabilities</vt:lpstr>
      <vt:lpstr>TAB F6, Commitments</vt:lpstr>
      <vt:lpstr>TAB F7, Miscellaneous</vt:lpstr>
      <vt:lpstr>TAB F8, Intrafund</vt:lpstr>
      <vt:lpstr>TAB F9, Short-Term Debt</vt:lpstr>
      <vt:lpstr>TAB F10, Net Inv in Cap Assets</vt:lpstr>
      <vt:lpstr>Certification</vt:lpstr>
      <vt:lpstr>HEI #-Acronym</vt:lpstr>
      <vt:lpstr>FST!Print_Area</vt:lpstr>
      <vt:lpstr>'TAB 2, Receivables'!Print_Area</vt:lpstr>
      <vt:lpstr>'TAB 3, Capital Assets'!Print_Area</vt:lpstr>
      <vt:lpstr>'TAB 5, LT Liabilities'!Print_Area</vt:lpstr>
      <vt:lpstr>'TAB 6, Commitments'!Print_Area</vt:lpstr>
      <vt:lpstr>'TAB F5.1, LT Liabilities'!Print_Area</vt:lpstr>
      <vt:lpstr>'TAB F7, Miscellaneous'!Print_Area</vt:lpstr>
      <vt:lpstr>Checklist!Print_Titles</vt:lpstr>
      <vt:lpstr>'Combining FST'!Print_Titles</vt:lpstr>
      <vt:lpstr>'Elimination Entries to FST'!Print_Titles</vt:lpstr>
      <vt:lpstr>'Foundation Flux '!Print_Titles</vt:lpstr>
      <vt:lpstr>'Foundation-PY FST $'!Print_Titles</vt:lpstr>
      <vt:lpstr>FST!Print_Titles</vt:lpstr>
      <vt:lpstr>'HEI Flux'!Print_Titles</vt:lpstr>
      <vt:lpstr>'HEI-PY Capital Assets'!Print_Titles</vt:lpstr>
      <vt:lpstr>'HEI-PY FST $'!Print_Titles</vt:lpstr>
      <vt:lpstr>'HEI-PY LT Liabilities'!Print_Titles</vt:lpstr>
      <vt:lpstr>'TAB F1,  Cash,  Cash Eqv &amp; Inv'!Print_Titles</vt:lpstr>
      <vt:lpstr>'TAB F10, Net Inv in Cap Assets'!Print_Titles</vt:lpstr>
      <vt:lpstr>'TAB F2, SNAP &amp; LGIP'!Print_Titles</vt:lpstr>
      <vt:lpstr>'TAB F3,  Receivables '!Print_Titles</vt:lpstr>
      <vt:lpstr>'TAB F4,  Capital Assets'!Print_Titles</vt:lpstr>
      <vt:lpstr>'TAB F5.1, LT Liabilities'!Print_Titles</vt:lpstr>
      <vt:lpstr>'TAB F6, Commitments'!Print_Titles</vt:lpstr>
      <vt:lpstr>'TAB F7, Miscellaneous'!Print_Titles</vt:lpstr>
      <vt:lpstr>'TAB F8, Intrafund'!Print_Titles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Comptroller's Directive No. 2-07, Attachment - HE-10, Financial Statement Template - Template</dc:title>
  <dc:subject>Comptroller's Directive No. 2-07, Attachment - HE-10, Financial Statement Template - Template</dc:subject>
  <dc:creator>Department of Accounts</dc:creator>
  <cp:keywords>Comptroller's Directive No. 2-07, Attachment - HE-10, Financial Statement Template - Template</cp:keywords>
  <cp:lastModifiedBy>Tuck, Christy (DOA)</cp:lastModifiedBy>
  <cp:lastPrinted>2024-04-17T18:51:08Z</cp:lastPrinted>
  <dcterms:created xsi:type="dcterms:W3CDTF">2003-04-30T13:31:46Z</dcterms:created>
  <dcterms:modified xsi:type="dcterms:W3CDTF">2024-05-02T18:59:57Z</dcterms:modified>
  <cp:category>Comptroller's Directive No. 2-07, Attachment - HE-10, Financial Statement Template -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-937714431</vt:i4>
  </property>
  <property fmtid="{D5CDD505-2E9C-101B-9397-08002B2CF9AE}" pid="3" name="_NewReviewCycle">
    <vt:lpwstr/>
  </property>
  <property fmtid="{D5CDD505-2E9C-101B-9397-08002B2CF9AE}" pid="4" name="_EmailSubject">
    <vt:lpwstr>Higher Ed Directive</vt:lpwstr>
  </property>
  <property fmtid="{D5CDD505-2E9C-101B-9397-08002B2CF9AE}" pid="5" name="_AuthorEmail">
    <vt:lpwstr>Marianne.Madison@doa.virginia.gov</vt:lpwstr>
  </property>
  <property fmtid="{D5CDD505-2E9C-101B-9397-08002B2CF9AE}" pid="6" name="_AuthorEmailDisplayName">
    <vt:lpwstr>Madison, Marianne</vt:lpwstr>
  </property>
  <property fmtid="{D5CDD505-2E9C-101B-9397-08002B2CF9AE}" pid="7" name="_ReviewingToolsShownOnce">
    <vt:lpwstr/>
  </property>
</Properties>
</file>