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ng-doa-netapp1\annrpt2$\Directive\Fiscal 2024\CU Directive\Excel Files Ready For Testing\"/>
    </mc:Choice>
  </mc:AlternateContent>
  <xr:revisionPtr revIDLastSave="0" documentId="13_ncr:1_{2A3FEBA5-6861-4DE9-859D-EB49A680770A}" xr6:coauthVersionLast="47" xr6:coauthVersionMax="47" xr10:uidLastSave="{00000000-0000-0000-0000-000000000000}"/>
  <bookViews>
    <workbookView xWindow="28680" yWindow="-120" windowWidth="29040" windowHeight="15720" tabRatio="916" xr2:uid="{00000000-000D-0000-FFFF-FFFF00000000}"/>
  </bookViews>
  <sheets>
    <sheet name="Component Unit Template" sheetId="1" r:id="rId1"/>
    <sheet name="Prior Year Amounts" sheetId="2" state="hidden" r:id="rId2"/>
    <sheet name="Template Flux" sheetId="4" r:id="rId3"/>
    <sheet name="Tab 1A - Detail Fdn" sheetId="5" r:id="rId4"/>
    <sheet name="Tab 1B-Cash Eq. &amp; Inv. Not w Tr" sheetId="6" r:id="rId5"/>
    <sheet name="Tab 2 - Receivables" sheetId="7" r:id="rId6"/>
    <sheet name="Tab 3 - Capital Assets" sheetId="8" r:id="rId7"/>
    <sheet name="Tab 4 - LT Liabilities" sheetId="9" r:id="rId8"/>
    <sheet name="Tab 4A - Short-term Debt" sheetId="10" r:id="rId9"/>
    <sheet name="Tab 5 - Commitments" sheetId="11" r:id="rId10"/>
    <sheet name="Tab 6 - Restatements" sheetId="12" r:id="rId11"/>
    <sheet name="Tab 7 - Net Inv in Cap Assets" sheetId="16" r:id="rId12"/>
    <sheet name="Certification" sheetId="17" r:id="rId13"/>
    <sheet name="Revision Control Log" sheetId="18" r:id="rId14"/>
  </sheets>
  <externalReferences>
    <externalReference r:id="rId15"/>
    <externalReference r:id="rId16"/>
  </externalReferences>
  <definedNames>
    <definedName name="_xlnm._FilterDatabase" localSheetId="7" hidden="1">'Tab 4 - LT Liabilities'!$I$65</definedName>
    <definedName name="art_bs" localSheetId="3">#REF!</definedName>
    <definedName name="art_bs" localSheetId="4">#REF!</definedName>
    <definedName name="art_bs" localSheetId="2">#REF!</definedName>
    <definedName name="art_bs">#REF!</definedName>
    <definedName name="art_cf" localSheetId="3">#REF!</definedName>
    <definedName name="art_cf" localSheetId="4">#REF!</definedName>
    <definedName name="art_cf" localSheetId="2">#REF!</definedName>
    <definedName name="art_cf">#REF!</definedName>
    <definedName name="art_is" localSheetId="3">#REF!</definedName>
    <definedName name="art_is" localSheetId="4">#REF!</definedName>
    <definedName name="art_is" localSheetId="2">#REF!</definedName>
    <definedName name="art_is">#REF!</definedName>
    <definedName name="Balance_Sheet" localSheetId="3">#REF!</definedName>
    <definedName name="Balance_Sheet" localSheetId="4">#REF!</definedName>
    <definedName name="Balance_Sheet" localSheetId="2">#REF!</definedName>
    <definedName name="Balance_Sheet">#REF!</definedName>
    <definedName name="BS_Title" localSheetId="3">#REF!</definedName>
    <definedName name="BS_Title" localSheetId="4">#REF!</definedName>
    <definedName name="BS_Title" localSheetId="2">#REF!</definedName>
    <definedName name="BS_Title">#REF!</definedName>
    <definedName name="Cash_Flows" localSheetId="3">#REF!</definedName>
    <definedName name="Cash_Flows" localSheetId="4">#REF!</definedName>
    <definedName name="Cash_Flows" localSheetId="2">#REF!</definedName>
    <definedName name="Cash_Flows">#REF!</definedName>
    <definedName name="Fitch" localSheetId="4">'Tab 1B-Cash Eq. &amp; Inv. Not w Tr'!#REF!</definedName>
    <definedName name="Fitch" localSheetId="2">'[1]Tab 1B-Cash Eq. &amp; Inv. Not w Tr'!$I$435:$I$463</definedName>
    <definedName name="Fitch">#REF!</definedName>
    <definedName name="Income_Statement" localSheetId="3">#REF!</definedName>
    <definedName name="Income_Statement" localSheetId="4">#REF!</definedName>
    <definedName name="Income_Statement" localSheetId="2">#REF!</definedName>
    <definedName name="Income_Statement">#REF!</definedName>
    <definedName name="IS" localSheetId="3">#REF!</definedName>
    <definedName name="IS" localSheetId="4">#REF!</definedName>
    <definedName name="IS" localSheetId="2">#REF!</definedName>
    <definedName name="IS">#REF!</definedName>
    <definedName name="IS_Title" localSheetId="3">#REF!</definedName>
    <definedName name="IS_Title" localSheetId="4">#REF!</definedName>
    <definedName name="IS_Title" localSheetId="2">#REF!</definedName>
    <definedName name="IS_Title">#REF!</definedName>
    <definedName name="Leg_BS" localSheetId="3">#REF!</definedName>
    <definedName name="Leg_BS" localSheetId="4">#REF!</definedName>
    <definedName name="Leg_BS" localSheetId="2">#REF!</definedName>
    <definedName name="Leg_BS">#REF!</definedName>
    <definedName name="LEG_CF" localSheetId="3">#REF!</definedName>
    <definedName name="LEG_CF" localSheetId="4">#REF!</definedName>
    <definedName name="LEG_CF" localSheetId="2">#REF!</definedName>
    <definedName name="LEG_CF">#REF!</definedName>
    <definedName name="Leg_IS" localSheetId="3">#REF!</definedName>
    <definedName name="Leg_IS" localSheetId="4">#REF!</definedName>
    <definedName name="Leg_IS" localSheetId="2">#REF!</definedName>
    <definedName name="Leg_IS">#REF!</definedName>
    <definedName name="LOC_BS" localSheetId="3">'[2]Local Choice'!#REF!</definedName>
    <definedName name="LOC_BS" localSheetId="4">'[2]Local Choice'!#REF!</definedName>
    <definedName name="LOC_BS" localSheetId="2">'[2]Local Choice'!#REF!</definedName>
    <definedName name="LOC_BS">'[2]Local Choice'!#REF!</definedName>
    <definedName name="Moodys" localSheetId="4">'Tab 1B-Cash Eq. &amp; Inv. Not w Tr'!#REF!</definedName>
    <definedName name="Moodys" localSheetId="2">'[1]Tab 1B-Cash Eq. &amp; Inv. Not w Tr'!$G$435:$G$482</definedName>
    <definedName name="Moodys">#REF!</definedName>
    <definedName name="NA" localSheetId="4">'Tab 1B-Cash Eq. &amp; Inv. Not w Tr'!#REF!</definedName>
    <definedName name="NA" localSheetId="2">'[1]Tab 1B-Cash Eq. &amp; Inv. Not w Tr'!$J$435</definedName>
    <definedName name="NA">#REF!</definedName>
    <definedName name="_xlnm.Print_Area" localSheetId="12">Certification!$A$1:$O$54</definedName>
    <definedName name="_xlnm.Print_Area" localSheetId="0">'Component Unit Template'!$A$1:$O$265</definedName>
    <definedName name="_xlnm.Print_Area" localSheetId="1">'Prior Year Amounts'!$A$9:$AK$321</definedName>
    <definedName name="_xlnm.Print_Area" localSheetId="13">'Revision Control Log'!$A$1:$F$61</definedName>
    <definedName name="_xlnm.Print_Area" localSheetId="3">'Tab 1A - Detail Fdn'!$A$1:$J$307</definedName>
    <definedName name="_xlnm.Print_Area" localSheetId="4">'Tab 1B-Cash Eq. &amp; Inv. Not w Tr'!$A$1:$I$53</definedName>
    <definedName name="_xlnm.Print_Area" localSheetId="5">'Tab 2 - Receivables'!$A$1:$I$147</definedName>
    <definedName name="_xlnm.Print_Area" localSheetId="6">'Tab 3 - Capital Assets'!$A$1:$J$64</definedName>
    <definedName name="_xlnm.Print_Area" localSheetId="7">'Tab 4 - LT Liabilities'!$A$1:$I$189</definedName>
    <definedName name="_xlnm.Print_Area" localSheetId="9">'Tab 5 - Commitments'!$A$1:$I$68</definedName>
    <definedName name="_xlnm.Print_Area" localSheetId="10">'Tab 6 - Restatements'!$A$1:$H$35</definedName>
    <definedName name="_xlnm.Print_Area" localSheetId="11">'Tab 7 - Net Inv in Cap Assets'!$A$1:$E$54</definedName>
    <definedName name="_xlnm.Print_Area" localSheetId="2">'Template Flux'!$A$1:$E$133</definedName>
    <definedName name="_xlnm.Print_Titles" localSheetId="13">'Revision Control Log'!$9:$9</definedName>
    <definedName name="_xlnm.Print_Titles" localSheetId="4">'Tab 1B-Cash Eq. &amp; Inv. Not w Tr'!$15:$15</definedName>
    <definedName name="_xlnm.Print_Titles" localSheetId="2">'Template Flux'!$1:$13</definedName>
    <definedName name="Rating_Agency" localSheetId="4">'Tab 1B-Cash Eq. &amp; Inv. Not w Tr'!#REF!</definedName>
    <definedName name="Rating_Agency" localSheetId="2">'[1]Tab 1B-Cash Eq. &amp; Inv. Not w Tr'!$F$435:$F$438</definedName>
    <definedName name="Rating_Agency">#REF!</definedName>
    <definedName name="Science_Bs" localSheetId="3">#REF!</definedName>
    <definedName name="Science_Bs" localSheetId="4">#REF!</definedName>
    <definedName name="Science_Bs" localSheetId="2">#REF!</definedName>
    <definedName name="Science_Bs">#REF!</definedName>
    <definedName name="Science_cf" localSheetId="3">#REF!</definedName>
    <definedName name="Science_cf" localSheetId="4">#REF!</definedName>
    <definedName name="Science_cf" localSheetId="2">#REF!</definedName>
    <definedName name="Science_cf">#REF!</definedName>
    <definedName name="Science_IS" localSheetId="3">#REF!</definedName>
    <definedName name="Science_IS" localSheetId="4">#REF!</definedName>
    <definedName name="Science_IS" localSheetId="2">#REF!</definedName>
    <definedName name="Science_IS">#REF!</definedName>
    <definedName name="Standard_Poors" localSheetId="4">'Tab 1B-Cash Eq. &amp; Inv. Not w Tr'!#REF!</definedName>
    <definedName name="Standard_Poors" localSheetId="2">'[1]Tab 1B-Cash Eq. &amp; Inv. Not w Tr'!$H$435:$H$472</definedName>
    <definedName name="Standard_Poors">#REF!</definedName>
    <definedName name="Z_21549FED_0843_409C_B56D_2EB16B98EF5E_.wvu.Cols" localSheetId="12" hidden="1">Certification!$R:$R</definedName>
    <definedName name="Z_21549FED_0843_409C_B56D_2EB16B98EF5E_.wvu.Cols" localSheetId="0" hidden="1">'Component Unit Template'!$Z:$AA</definedName>
    <definedName name="Z_21549FED_0843_409C_B56D_2EB16B98EF5E_.wvu.Cols" localSheetId="1" hidden="1">'Prior Year Amounts'!$E:$G</definedName>
    <definedName name="Z_21549FED_0843_409C_B56D_2EB16B98EF5E_.wvu.Cols" localSheetId="4" hidden="1">'Tab 1B-Cash Eq. &amp; Inv. Not w Tr'!$L:$L</definedName>
    <definedName name="Z_21549FED_0843_409C_B56D_2EB16B98EF5E_.wvu.Cols" localSheetId="7" hidden="1">'Tab 4 - LT Liabilities'!$J:$J</definedName>
    <definedName name="Z_21549FED_0843_409C_B56D_2EB16B98EF5E_.wvu.Cols" localSheetId="11" hidden="1">'Tab 7 - Net Inv in Cap Assets'!$H:$H</definedName>
    <definedName name="Z_21549FED_0843_409C_B56D_2EB16B98EF5E_.wvu.FilterData" localSheetId="7" hidden="1">'Tab 4 - LT Liabilities'!$I$65</definedName>
    <definedName name="Z_21549FED_0843_409C_B56D_2EB16B98EF5E_.wvu.PrintArea" localSheetId="12" hidden="1">Certification!$A$1:$O$54</definedName>
    <definedName name="Z_21549FED_0843_409C_B56D_2EB16B98EF5E_.wvu.PrintArea" localSheetId="0" hidden="1">'Component Unit Template'!$A$1:$O$265</definedName>
    <definedName name="Z_21549FED_0843_409C_B56D_2EB16B98EF5E_.wvu.PrintArea" localSheetId="1" hidden="1">'Prior Year Amounts'!$A$9:$AK$321</definedName>
    <definedName name="Z_21549FED_0843_409C_B56D_2EB16B98EF5E_.wvu.PrintArea" localSheetId="13" hidden="1">'Revision Control Log'!$A$1:$F$61</definedName>
    <definedName name="Z_21549FED_0843_409C_B56D_2EB16B98EF5E_.wvu.PrintArea" localSheetId="3" hidden="1">'Tab 1A - Detail Fdn'!$A$1:$J$307</definedName>
    <definedName name="Z_21549FED_0843_409C_B56D_2EB16B98EF5E_.wvu.PrintArea" localSheetId="4" hidden="1">'Tab 1B-Cash Eq. &amp; Inv. Not w Tr'!$A$1:$I$51</definedName>
    <definedName name="Z_21549FED_0843_409C_B56D_2EB16B98EF5E_.wvu.PrintArea" localSheetId="5" hidden="1">'Tab 2 - Receivables'!$A$1:$I$147</definedName>
    <definedName name="Z_21549FED_0843_409C_B56D_2EB16B98EF5E_.wvu.PrintArea" localSheetId="6" hidden="1">'Tab 3 - Capital Assets'!$A$1:$J$64</definedName>
    <definedName name="Z_21549FED_0843_409C_B56D_2EB16B98EF5E_.wvu.PrintArea" localSheetId="7" hidden="1">'Tab 4 - LT Liabilities'!$A$1:$I$189</definedName>
    <definedName name="Z_21549FED_0843_409C_B56D_2EB16B98EF5E_.wvu.PrintArea" localSheetId="9" hidden="1">'Tab 5 - Commitments'!$A$1:$F$67</definedName>
    <definedName name="Z_21549FED_0843_409C_B56D_2EB16B98EF5E_.wvu.PrintArea" localSheetId="10" hidden="1">'Tab 6 - Restatements'!$A$1:$H$35</definedName>
    <definedName name="Z_21549FED_0843_409C_B56D_2EB16B98EF5E_.wvu.PrintArea" localSheetId="11" hidden="1">'Tab 7 - Net Inv in Cap Assets'!$A$1:$E$55</definedName>
    <definedName name="Z_21549FED_0843_409C_B56D_2EB16B98EF5E_.wvu.PrintTitles" localSheetId="13" hidden="1">'Revision Control Log'!$9:$9</definedName>
    <definedName name="Z_21549FED_0843_409C_B56D_2EB16B98EF5E_.wvu.PrintTitles" localSheetId="4" hidden="1">'Tab 1B-Cash Eq. &amp; Inv. Not w Tr'!$15:$15</definedName>
    <definedName name="Z_21549FED_0843_409C_B56D_2EB16B98EF5E_.wvu.PrintTitles" localSheetId="2" hidden="1">'Template Flux'!$1:$13</definedName>
    <definedName name="Z_21549FED_0843_409C_B56D_2EB16B98EF5E_.wvu.Rows" localSheetId="12" hidden="1">Certification!$27:$27</definedName>
    <definedName name="Z_21549FED_0843_409C_B56D_2EB16B98EF5E_.wvu.Rows" localSheetId="0" hidden="1">'Component Unit Template'!$8:$8,'Component Unit Template'!$22:$33,'Component Unit Template'!$44:$45,'Component Unit Template'!$50:$51,'Component Unit Template'!$53:$53,'Component Unit Template'!$75:$75,'Component Unit Template'!$78:$78,'Component Unit Template'!$81:$86,'Component Unit Template'!$97:$97,'Component Unit Template'!$99:$99,'Component Unit Template'!$104:$104,'Component Unit Template'!$107:$107,'Component Unit Template'!$119:$121,'Component Unit Template'!$144:$144,'Component Unit Template'!$155:$155,'Component Unit Template'!$161:$162,'Component Unit Template'!$171:$171,'Component Unit Template'!$187:$190,'Component Unit Template'!$199:$199,'Component Unit Template'!$230:$230,'Component Unit Template'!$239:$240,'Component Unit Template'!$243:$243,'Component Unit Template'!$246:$246,'Component Unit Template'!$261:$264</definedName>
    <definedName name="Z_21549FED_0843_409C_B56D_2EB16B98EF5E_.wvu.Rows" localSheetId="1" hidden="1">'Prior Year Amounts'!$1:$7,'Prior Year Amounts'!$12:$30,'Prior Year Amounts'!$44:$44,'Prior Year Amounts'!$69:$69,'Prior Year Amounts'!$72:$72,'Prior Year Amounts'!$76:$81,'Prior Year Amounts'!$91:$91,'Prior Year Amounts'!$98:$98,'Prior Year Amounts'!$136:$136,'Prior Year Amounts'!$147:$147,'Prior Year Amounts'!$201:$204,'Prior Year Amounts'!$222:$222,'Prior Year Amounts'!$255:$255,'Prior Year Amounts'!#REF!</definedName>
    <definedName name="Z_21549FED_0843_409C_B56D_2EB16B98EF5E_.wvu.Rows" localSheetId="13" hidden="1">'Revision Control Log'!$63:$75</definedName>
    <definedName name="Z_21549FED_0843_409C_B56D_2EB16B98EF5E_.wvu.Rows" localSheetId="3" hidden="1">'Tab 1A - Detail Fdn'!$8:$25,'Tab 1A - Detail Fdn'!$41:$49,'Tab 1A - Detail Fdn'!$54:$65,'Tab 1A - Detail Fdn'!$71:$79,'Tab 1A - Detail Fdn'!$83:$95,'Tab 1A - Detail Fdn'!$301:$303,'Tab 1A - Detail Fdn'!$319:$321</definedName>
    <definedName name="Z_21549FED_0843_409C_B56D_2EB16B98EF5E_.wvu.Rows" localSheetId="5" hidden="1">'Tab 2 - Receivables'!$9:$10,'Tab 2 - Receivables'!$16:$17,'Tab 2 - Receivables'!$30:$43,'Tab 2 - Receivables'!$139:$291</definedName>
    <definedName name="Z_21549FED_0843_409C_B56D_2EB16B98EF5E_.wvu.Rows" localSheetId="6" hidden="1">'Tab 3 - Capital Assets'!$8:$8,'Tab 3 - Capital Assets'!#REF!,'Tab 3 - Capital Assets'!#REF!,'Tab 3 - Capital Assets'!#REF!,'Tab 3 - Capital Assets'!$54:$54,'Tab 3 - Capital Assets'!$76:$184</definedName>
    <definedName name="Z_21549FED_0843_409C_B56D_2EB16B98EF5E_.wvu.Rows" localSheetId="7" hidden="1">'Tab 4 - LT Liabilities'!#REF!,'Tab 4 - LT Liabilities'!$36:$60,'Tab 4 - LT Liabilities'!$63:$63,'Tab 4 - LT Liabilities'!$73:$83,'Tab 4 - LT Liabilities'!$86:$86,'Tab 4 - LT Liabilities'!$91:$93,'Tab 4 - LT Liabilities'!$103:$113,'Tab 4 - LT Liabilities'!$126:$136,'Tab 4 - LT Liabilities'!$153:$163,'Tab 4 - LT Liabilities'!$166:$181</definedName>
    <definedName name="Z_21549FED_0843_409C_B56D_2EB16B98EF5E_.wvu.Rows" localSheetId="8" hidden="1">'Tab 4A - Short-term Debt'!$42:$43,'Tab 4A - Short-term Debt'!$66:$68</definedName>
    <definedName name="Z_21549FED_0843_409C_B56D_2EB16B98EF5E_.wvu.Rows" localSheetId="9" hidden="1">'Tab 5 - Commitments'!$32:$33,'Tab 5 - Commitments'!$60:$60,'Tab 5 - Commitments'!$65:$65,'Tab 5 - Commitments'!$72:$74</definedName>
    <definedName name="Z_21549FED_0843_409C_B56D_2EB16B98EF5E_.wvu.Rows" localSheetId="10" hidden="1">'Tab 6 - Restatements'!$8:$8</definedName>
    <definedName name="Z_21549FED_0843_409C_B56D_2EB16B98EF5E_.wvu.Rows" localSheetId="11" hidden="1">'Tab 7 - Net Inv in Cap Assets'!$30:$31,'Tab 7 - Net Inv in Cap Assets'!$35:$35</definedName>
    <definedName name="Z_21549FED_0843_409C_B56D_2EB16B98EF5E_.wvu.Rows" localSheetId="2" hidden="1">'Template Flux'!$19:$20,'Template Flux'!$23:$23,'Template Flux'!$25:$25,'Template Flux'!$49:$49,'Template Flux'!$54:$54,'Template Flux'!$80:$81,'Template Flux'!$104:$104,'Template Flux'!$127:$128,'Template Flux'!$131:$132,'Template Flux'!$134:$134</definedName>
    <definedName name="Z_5A69DEB5_9E8B_40C6_849E_49B804F6ED86_.wvu.Cols" localSheetId="12" hidden="1">Certification!$R:$R</definedName>
    <definedName name="Z_5A69DEB5_9E8B_40C6_849E_49B804F6ED86_.wvu.Cols" localSheetId="1" hidden="1">'Prior Year Amounts'!$E:$G</definedName>
    <definedName name="Z_5A69DEB5_9E8B_40C6_849E_49B804F6ED86_.wvu.Cols" localSheetId="4" hidden="1">'Tab 1B-Cash Eq. &amp; Inv. Not w Tr'!#REF!,'Tab 1B-Cash Eq. &amp; Inv. Not w Tr'!$M:$M</definedName>
    <definedName name="Z_5A69DEB5_9E8B_40C6_849E_49B804F6ED86_.wvu.Cols" localSheetId="11" hidden="1">'Tab 7 - Net Inv in Cap Assets'!$H:$H</definedName>
    <definedName name="Z_5A69DEB5_9E8B_40C6_849E_49B804F6ED86_.wvu.FilterData" localSheetId="7" hidden="1">'Tab 4 - LT Liabilities'!$I$65</definedName>
    <definedName name="Z_5A69DEB5_9E8B_40C6_849E_49B804F6ED86_.wvu.PrintArea" localSheetId="12" hidden="1">Certification!$A$1:$O$54</definedName>
    <definedName name="Z_5A69DEB5_9E8B_40C6_849E_49B804F6ED86_.wvu.PrintArea" localSheetId="0" hidden="1">'Component Unit Template'!$A$1:$O$265</definedName>
    <definedName name="Z_5A69DEB5_9E8B_40C6_849E_49B804F6ED86_.wvu.PrintArea" localSheetId="1" hidden="1">'Prior Year Amounts'!$A$9:$AK$319</definedName>
    <definedName name="Z_5A69DEB5_9E8B_40C6_849E_49B804F6ED86_.wvu.PrintArea" localSheetId="13" hidden="1">'Revision Control Log'!$A$1:$F$61</definedName>
    <definedName name="Z_5A69DEB5_9E8B_40C6_849E_49B804F6ED86_.wvu.PrintArea" localSheetId="3" hidden="1">'Tab 1A - Detail Fdn'!$A$1:$J$317</definedName>
    <definedName name="Z_5A69DEB5_9E8B_40C6_849E_49B804F6ED86_.wvu.PrintArea" localSheetId="4" hidden="1">'Tab 1B-Cash Eq. &amp; Inv. Not w Tr'!$A$15:$I$46</definedName>
    <definedName name="Z_5A69DEB5_9E8B_40C6_849E_49B804F6ED86_.wvu.PrintArea" localSheetId="5" hidden="1">'Tab 2 - Receivables'!$A$1:$I$147</definedName>
    <definedName name="Z_5A69DEB5_9E8B_40C6_849E_49B804F6ED86_.wvu.PrintArea" localSheetId="6" hidden="1">'Tab 3 - Capital Assets'!$A$1:$O$183</definedName>
    <definedName name="Z_5A69DEB5_9E8B_40C6_849E_49B804F6ED86_.wvu.PrintArea" localSheetId="7" hidden="1">'Tab 4 - LT Liabilities'!$A$1:$I$189</definedName>
    <definedName name="Z_5A69DEB5_9E8B_40C6_849E_49B804F6ED86_.wvu.PrintArea" localSheetId="9" hidden="1">'Tab 5 - Commitments'!$A$1:$F$67</definedName>
    <definedName name="Z_5A69DEB5_9E8B_40C6_849E_49B804F6ED86_.wvu.PrintArea" localSheetId="10" hidden="1">'Tab 6 - Restatements'!$A$1:$H$35</definedName>
    <definedName name="Z_5A69DEB5_9E8B_40C6_849E_49B804F6ED86_.wvu.PrintArea" localSheetId="11" hidden="1">'Tab 7 - Net Inv in Cap Assets'!$A$1:$E$53</definedName>
    <definedName name="Z_5A69DEB5_9E8B_40C6_849E_49B804F6ED86_.wvu.PrintTitles" localSheetId="13" hidden="1">'Revision Control Log'!$9:$9</definedName>
    <definedName name="Z_5A69DEB5_9E8B_40C6_849E_49B804F6ED86_.wvu.PrintTitles" localSheetId="4" hidden="1">'Tab 1B-Cash Eq. &amp; Inv. Not w Tr'!$15:$15</definedName>
    <definedName name="Z_5A69DEB5_9E8B_40C6_849E_49B804F6ED86_.wvu.Rows" localSheetId="12" hidden="1">Certification!$27:$27</definedName>
    <definedName name="Z_5A69DEB5_9E8B_40C6_849E_49B804F6ED86_.wvu.Rows" localSheetId="0" hidden="1">'Component Unit Template'!$8:$8,'Component Unit Template'!$22:$33,'Component Unit Template'!$50:$50,'Component Unit Template'!$75:$75,'Component Unit Template'!$78:$78,'Component Unit Template'!$81:$86,'Component Unit Template'!$97:$97,'Component Unit Template'!$104:$104,'Component Unit Template'!$119:$121,'Component Unit Template'!$144:$144,'Component Unit Template'!$155:$155,'Component Unit Template'!$162:$162,'Component Unit Template'!$171:$171,'Component Unit Template'!$187:$190,'Component Unit Template'!$230:$230,'Component Unit Template'!$261:$264</definedName>
    <definedName name="Z_5A69DEB5_9E8B_40C6_849E_49B804F6ED86_.wvu.Rows" localSheetId="1" hidden="1">'Prior Year Amounts'!$1:$7,'Prior Year Amounts'!$12:$30,'Prior Year Amounts'!$44:$44,'Prior Year Amounts'!$69:$69,'Prior Year Amounts'!$72:$72,'Prior Year Amounts'!$76:$81,'Prior Year Amounts'!$91:$91,'Prior Year Amounts'!$98:$98,'Prior Year Amounts'!$136:$136,'Prior Year Amounts'!$147:$147,'Prior Year Amounts'!$201:$204,'Prior Year Amounts'!$222:$222,'Prior Year Amounts'!$255:$255,'Prior Year Amounts'!#REF!</definedName>
    <definedName name="Z_5A69DEB5_9E8B_40C6_849E_49B804F6ED86_.wvu.Rows" localSheetId="13" hidden="1">'Revision Control Log'!$63:$75</definedName>
    <definedName name="Z_5A69DEB5_9E8B_40C6_849E_49B804F6ED86_.wvu.Rows" localSheetId="3" hidden="1">'Tab 1A - Detail Fdn'!$8:$25,'Tab 1A - Detail Fdn'!#REF!,'Tab 1A - Detail Fdn'!$319:$321</definedName>
    <definedName name="Z_5A69DEB5_9E8B_40C6_849E_49B804F6ED86_.wvu.Rows" localSheetId="4" hidden="1">'Tab 1B-Cash Eq. &amp; Inv. Not w Tr'!#REF!</definedName>
    <definedName name="Z_5A69DEB5_9E8B_40C6_849E_49B804F6ED86_.wvu.Rows" localSheetId="5" hidden="1">'Tab 2 - Receivables'!$9:$10,'Tab 2 - Receivables'!$16:$17,'Tab 2 - Receivables'!$139:$291</definedName>
    <definedName name="Z_5A69DEB5_9E8B_40C6_849E_49B804F6ED86_.wvu.Rows" localSheetId="6" hidden="1">'Tab 3 - Capital Assets'!$8:$8,'Tab 3 - Capital Assets'!#REF!,'Tab 3 - Capital Assets'!$54:$54,'Tab 3 - Capital Assets'!$132:$153,'Tab 3 - Capital Assets'!$158:$160</definedName>
    <definedName name="Z_5A69DEB5_9E8B_40C6_849E_49B804F6ED86_.wvu.Rows" localSheetId="7" hidden="1">'Tab 4 - LT Liabilities'!$55:$55,'Tab 4 - LT Liabilities'!$58:$59,'Tab 4 - LT Liabilities'!$63:$63,'Tab 4 - LT Liabilities'!$86:$86,'Tab 4 - LT Liabilities'!$91:$93,'Tab 4 - LT Liabilities'!$166:$181,'Tab 4 - LT Liabilities'!$231:$234</definedName>
    <definedName name="Z_5A69DEB5_9E8B_40C6_849E_49B804F6ED86_.wvu.Rows" localSheetId="8" hidden="1">'Tab 4A - Short-term Debt'!$42:$43</definedName>
    <definedName name="Z_5A69DEB5_9E8B_40C6_849E_49B804F6ED86_.wvu.Rows" localSheetId="9" hidden="1">'Tab 5 - Commitments'!$32:$33,'Tab 5 - Commitments'!$72:$74</definedName>
    <definedName name="Z_5A69DEB5_9E8B_40C6_849E_49B804F6ED86_.wvu.Rows" localSheetId="10" hidden="1">'Tab 6 - Restatements'!$8:$8</definedName>
    <definedName name="Z_83B11BDE_9087_4120_8F71_87939A6C277C_.wvu.Cols" localSheetId="12" hidden="1">Certification!$R:$R</definedName>
    <definedName name="Z_83B11BDE_9087_4120_8F71_87939A6C277C_.wvu.Cols" localSheetId="1" hidden="1">'Prior Year Amounts'!$E:$G</definedName>
    <definedName name="Z_83B11BDE_9087_4120_8F71_87939A6C277C_.wvu.Cols" localSheetId="4" hidden="1">'Tab 1B-Cash Eq. &amp; Inv. Not w Tr'!#REF!,'Tab 1B-Cash Eq. &amp; Inv. Not w Tr'!$M:$M</definedName>
    <definedName name="Z_83B11BDE_9087_4120_8F71_87939A6C277C_.wvu.Cols" localSheetId="11" hidden="1">'Tab 7 - Net Inv in Cap Assets'!$H:$H</definedName>
    <definedName name="Z_83B11BDE_9087_4120_8F71_87939A6C277C_.wvu.FilterData" localSheetId="7" hidden="1">'Tab 4 - LT Liabilities'!$I$65</definedName>
    <definedName name="Z_83B11BDE_9087_4120_8F71_87939A6C277C_.wvu.PrintArea" localSheetId="12" hidden="1">Certification!$A$1:$O$54</definedName>
    <definedName name="Z_83B11BDE_9087_4120_8F71_87939A6C277C_.wvu.PrintArea" localSheetId="0" hidden="1">'Component Unit Template'!$A$1:$O$265</definedName>
    <definedName name="Z_83B11BDE_9087_4120_8F71_87939A6C277C_.wvu.PrintArea" localSheetId="1" hidden="1">'Prior Year Amounts'!$A$9:$AK$319</definedName>
    <definedName name="Z_83B11BDE_9087_4120_8F71_87939A6C277C_.wvu.PrintArea" localSheetId="13" hidden="1">'Revision Control Log'!$A$1:$F$61</definedName>
    <definedName name="Z_83B11BDE_9087_4120_8F71_87939A6C277C_.wvu.PrintArea" localSheetId="3" hidden="1">'Tab 1A - Detail Fdn'!$A$1:$J$317</definedName>
    <definedName name="Z_83B11BDE_9087_4120_8F71_87939A6C277C_.wvu.PrintArea" localSheetId="4" hidden="1">'Tab 1B-Cash Eq. &amp; Inv. Not w Tr'!$A$15:$I$46</definedName>
    <definedName name="Z_83B11BDE_9087_4120_8F71_87939A6C277C_.wvu.PrintArea" localSheetId="5" hidden="1">'Tab 2 - Receivables'!$A$1:$I$147</definedName>
    <definedName name="Z_83B11BDE_9087_4120_8F71_87939A6C277C_.wvu.PrintArea" localSheetId="6" hidden="1">'Tab 3 - Capital Assets'!$A$1:$O$183</definedName>
    <definedName name="Z_83B11BDE_9087_4120_8F71_87939A6C277C_.wvu.PrintArea" localSheetId="7" hidden="1">'Tab 4 - LT Liabilities'!$A$1:$I$189</definedName>
    <definedName name="Z_83B11BDE_9087_4120_8F71_87939A6C277C_.wvu.PrintArea" localSheetId="9" hidden="1">'Tab 5 - Commitments'!$A$1:$F$67</definedName>
    <definedName name="Z_83B11BDE_9087_4120_8F71_87939A6C277C_.wvu.PrintArea" localSheetId="10" hidden="1">'Tab 6 - Restatements'!$A$1:$H$35</definedName>
    <definedName name="Z_83B11BDE_9087_4120_8F71_87939A6C277C_.wvu.PrintArea" localSheetId="11" hidden="1">'Tab 7 - Net Inv in Cap Assets'!$A$1:$E$53</definedName>
    <definedName name="Z_83B11BDE_9087_4120_8F71_87939A6C277C_.wvu.PrintTitles" localSheetId="13" hidden="1">'Revision Control Log'!$9:$9</definedName>
    <definedName name="Z_83B11BDE_9087_4120_8F71_87939A6C277C_.wvu.PrintTitles" localSheetId="4" hidden="1">'Tab 1B-Cash Eq. &amp; Inv. Not w Tr'!$15:$15</definedName>
    <definedName name="Z_83B11BDE_9087_4120_8F71_87939A6C277C_.wvu.Rows" localSheetId="12" hidden="1">Certification!$27:$27</definedName>
    <definedName name="Z_83B11BDE_9087_4120_8F71_87939A6C277C_.wvu.Rows" localSheetId="0" hidden="1">'Component Unit Template'!$8:$8,'Component Unit Template'!$22:$33,'Component Unit Template'!$50:$50,'Component Unit Template'!$75:$75,'Component Unit Template'!$78:$78,'Component Unit Template'!$81:$86,'Component Unit Template'!$97:$97,'Component Unit Template'!$104:$104,'Component Unit Template'!$119:$121,'Component Unit Template'!$144:$144,'Component Unit Template'!$155:$155,'Component Unit Template'!$162:$162,'Component Unit Template'!$171:$171,'Component Unit Template'!$187:$190,'Component Unit Template'!$230:$230,'Component Unit Template'!$261:$264</definedName>
    <definedName name="Z_83B11BDE_9087_4120_8F71_87939A6C277C_.wvu.Rows" localSheetId="1" hidden="1">'Prior Year Amounts'!$1:$7,'Prior Year Amounts'!$12:$30,'Prior Year Amounts'!$44:$44,'Prior Year Amounts'!$69:$69,'Prior Year Amounts'!$72:$72,'Prior Year Amounts'!$76:$81,'Prior Year Amounts'!$91:$91,'Prior Year Amounts'!$98:$98,'Prior Year Amounts'!$136:$136,'Prior Year Amounts'!$147:$147,'Prior Year Amounts'!$201:$204,'Prior Year Amounts'!$222:$222,'Prior Year Amounts'!$255:$255,'Prior Year Amounts'!#REF!</definedName>
    <definedName name="Z_83B11BDE_9087_4120_8F71_87939A6C277C_.wvu.Rows" localSheetId="13" hidden="1">'Revision Control Log'!$63:$75</definedName>
    <definedName name="Z_83B11BDE_9087_4120_8F71_87939A6C277C_.wvu.Rows" localSheetId="3" hidden="1">'Tab 1A - Detail Fdn'!$8:$25,'Tab 1A - Detail Fdn'!#REF!,'Tab 1A - Detail Fdn'!$319:$321</definedName>
    <definedName name="Z_83B11BDE_9087_4120_8F71_87939A6C277C_.wvu.Rows" localSheetId="4" hidden="1">'Tab 1B-Cash Eq. &amp; Inv. Not w Tr'!#REF!</definedName>
    <definedName name="Z_83B11BDE_9087_4120_8F71_87939A6C277C_.wvu.Rows" localSheetId="5" hidden="1">'Tab 2 - Receivables'!$9:$10,'Tab 2 - Receivables'!$16:$17,'Tab 2 - Receivables'!$139:$291</definedName>
    <definedName name="Z_83B11BDE_9087_4120_8F71_87939A6C277C_.wvu.Rows" localSheetId="6" hidden="1">'Tab 3 - Capital Assets'!$8:$8,'Tab 3 - Capital Assets'!#REF!,'Tab 3 - Capital Assets'!$54:$54,'Tab 3 - Capital Assets'!$132:$153,'Tab 3 - Capital Assets'!$158:$160</definedName>
    <definedName name="Z_83B11BDE_9087_4120_8F71_87939A6C277C_.wvu.Rows" localSheetId="7" hidden="1">'Tab 4 - LT Liabilities'!$55:$55,'Tab 4 - LT Liabilities'!$58:$59,'Tab 4 - LT Liabilities'!$63:$63,'Tab 4 - LT Liabilities'!$86:$86,'Tab 4 - LT Liabilities'!$91:$93,'Tab 4 - LT Liabilities'!$166:$181,'Tab 4 - LT Liabilities'!$231:$234</definedName>
    <definedName name="Z_83B11BDE_9087_4120_8F71_87939A6C277C_.wvu.Rows" localSheetId="8" hidden="1">'Tab 4A - Short-term Debt'!$42:$43</definedName>
    <definedName name="Z_83B11BDE_9087_4120_8F71_87939A6C277C_.wvu.Rows" localSheetId="9" hidden="1">'Tab 5 - Commitments'!$32:$33,'Tab 5 - Commitments'!$72:$74</definedName>
    <definedName name="Z_83B11BDE_9087_4120_8F71_87939A6C277C_.wvu.Rows" localSheetId="10" hidden="1">'Tab 6 - Restatements'!$8:$8</definedName>
    <definedName name="Z_C3905544_E3E5_4318_8AA2_F7DE16A9B8E7_.wvu.Cols" localSheetId="12" hidden="1">Certification!$R:$R</definedName>
    <definedName name="Z_C3905544_E3E5_4318_8AA2_F7DE16A9B8E7_.wvu.Cols" localSheetId="1" hidden="1">'Prior Year Amounts'!$E:$G</definedName>
    <definedName name="Z_C3905544_E3E5_4318_8AA2_F7DE16A9B8E7_.wvu.Cols" localSheetId="4" hidden="1">'Tab 1B-Cash Eq. &amp; Inv. Not w Tr'!#REF!,'Tab 1B-Cash Eq. &amp; Inv. Not w Tr'!$M:$M</definedName>
    <definedName name="Z_C3905544_E3E5_4318_8AA2_F7DE16A9B8E7_.wvu.Cols" localSheetId="11" hidden="1">'Tab 7 - Net Inv in Cap Assets'!$H:$H</definedName>
    <definedName name="Z_C3905544_E3E5_4318_8AA2_F7DE16A9B8E7_.wvu.FilterData" localSheetId="7" hidden="1">'Tab 4 - LT Liabilities'!$I$65</definedName>
    <definedName name="Z_C3905544_E3E5_4318_8AA2_F7DE16A9B8E7_.wvu.PrintArea" localSheetId="12" hidden="1">Certification!$A$1:$O$54</definedName>
    <definedName name="Z_C3905544_E3E5_4318_8AA2_F7DE16A9B8E7_.wvu.PrintArea" localSheetId="0" hidden="1">'Component Unit Template'!$A$1:$O$265</definedName>
    <definedName name="Z_C3905544_E3E5_4318_8AA2_F7DE16A9B8E7_.wvu.PrintArea" localSheetId="1" hidden="1">'Prior Year Amounts'!$A$9:$AK$319</definedName>
    <definedName name="Z_C3905544_E3E5_4318_8AA2_F7DE16A9B8E7_.wvu.PrintArea" localSheetId="13" hidden="1">'Revision Control Log'!$A$1:$F$61</definedName>
    <definedName name="Z_C3905544_E3E5_4318_8AA2_F7DE16A9B8E7_.wvu.PrintArea" localSheetId="3" hidden="1">'Tab 1A - Detail Fdn'!$A$1:$J$317</definedName>
    <definedName name="Z_C3905544_E3E5_4318_8AA2_F7DE16A9B8E7_.wvu.PrintArea" localSheetId="4" hidden="1">'Tab 1B-Cash Eq. &amp; Inv. Not w Tr'!$A$15:$I$46</definedName>
    <definedName name="Z_C3905544_E3E5_4318_8AA2_F7DE16A9B8E7_.wvu.PrintArea" localSheetId="5" hidden="1">'Tab 2 - Receivables'!$A$1:$I$147</definedName>
    <definedName name="Z_C3905544_E3E5_4318_8AA2_F7DE16A9B8E7_.wvu.PrintArea" localSheetId="6" hidden="1">'Tab 3 - Capital Assets'!$A$1:$O$183</definedName>
    <definedName name="Z_C3905544_E3E5_4318_8AA2_F7DE16A9B8E7_.wvu.PrintArea" localSheetId="7" hidden="1">'Tab 4 - LT Liabilities'!$A$1:$I$189</definedName>
    <definedName name="Z_C3905544_E3E5_4318_8AA2_F7DE16A9B8E7_.wvu.PrintArea" localSheetId="9" hidden="1">'Tab 5 - Commitments'!$A$1:$F$67</definedName>
    <definedName name="Z_C3905544_E3E5_4318_8AA2_F7DE16A9B8E7_.wvu.PrintArea" localSheetId="10" hidden="1">'Tab 6 - Restatements'!$A$1:$H$35</definedName>
    <definedName name="Z_C3905544_E3E5_4318_8AA2_F7DE16A9B8E7_.wvu.PrintArea" localSheetId="11" hidden="1">'Tab 7 - Net Inv in Cap Assets'!$A$1:$E$53</definedName>
    <definedName name="Z_C3905544_E3E5_4318_8AA2_F7DE16A9B8E7_.wvu.PrintTitles" localSheetId="13" hidden="1">'Revision Control Log'!$9:$9</definedName>
    <definedName name="Z_C3905544_E3E5_4318_8AA2_F7DE16A9B8E7_.wvu.PrintTitles" localSheetId="4" hidden="1">'Tab 1B-Cash Eq. &amp; Inv. Not w Tr'!$15:$15</definedName>
    <definedName name="Z_C3905544_E3E5_4318_8AA2_F7DE16A9B8E7_.wvu.Rows" localSheetId="12" hidden="1">Certification!$27:$27</definedName>
    <definedName name="Z_C3905544_E3E5_4318_8AA2_F7DE16A9B8E7_.wvu.Rows" localSheetId="0" hidden="1">'Component Unit Template'!$8:$8,'Component Unit Template'!$22:$33,'Component Unit Template'!$50:$50,'Component Unit Template'!$75:$75,'Component Unit Template'!$78:$78,'Component Unit Template'!$81:$86,'Component Unit Template'!$97:$97,'Component Unit Template'!$104:$104,'Component Unit Template'!$119:$121,'Component Unit Template'!$144:$144,'Component Unit Template'!$155:$155,'Component Unit Template'!$162:$162,'Component Unit Template'!$171:$171,'Component Unit Template'!$187:$190,'Component Unit Template'!$230:$230,'Component Unit Template'!$261:$264</definedName>
    <definedName name="Z_C3905544_E3E5_4318_8AA2_F7DE16A9B8E7_.wvu.Rows" localSheetId="1" hidden="1">'Prior Year Amounts'!$1:$7,'Prior Year Amounts'!$12:$30,'Prior Year Amounts'!$44:$44,'Prior Year Amounts'!$69:$69,'Prior Year Amounts'!$72:$72,'Prior Year Amounts'!$76:$81,'Prior Year Amounts'!$91:$91,'Prior Year Amounts'!$98:$98,'Prior Year Amounts'!$136:$136,'Prior Year Amounts'!$147:$147,'Prior Year Amounts'!$201:$204,'Prior Year Amounts'!$222:$222,'Prior Year Amounts'!$255:$255,'Prior Year Amounts'!#REF!</definedName>
    <definedName name="Z_C3905544_E3E5_4318_8AA2_F7DE16A9B8E7_.wvu.Rows" localSheetId="13" hidden="1">'Revision Control Log'!$63:$75</definedName>
    <definedName name="Z_C3905544_E3E5_4318_8AA2_F7DE16A9B8E7_.wvu.Rows" localSheetId="3" hidden="1">'Tab 1A - Detail Fdn'!$8:$25,'Tab 1A - Detail Fdn'!#REF!,'Tab 1A - Detail Fdn'!$319:$321</definedName>
    <definedName name="Z_C3905544_E3E5_4318_8AA2_F7DE16A9B8E7_.wvu.Rows" localSheetId="4" hidden="1">'Tab 1B-Cash Eq. &amp; Inv. Not w Tr'!#REF!</definedName>
    <definedName name="Z_C3905544_E3E5_4318_8AA2_F7DE16A9B8E7_.wvu.Rows" localSheetId="5" hidden="1">'Tab 2 - Receivables'!$9:$10,'Tab 2 - Receivables'!$16:$17,'Tab 2 - Receivables'!$139:$291</definedName>
    <definedName name="Z_C3905544_E3E5_4318_8AA2_F7DE16A9B8E7_.wvu.Rows" localSheetId="6" hidden="1">'Tab 3 - Capital Assets'!$8:$8,'Tab 3 - Capital Assets'!#REF!,'Tab 3 - Capital Assets'!$54:$54,'Tab 3 - Capital Assets'!$132:$153,'Tab 3 - Capital Assets'!$158:$160</definedName>
    <definedName name="Z_C3905544_E3E5_4318_8AA2_F7DE16A9B8E7_.wvu.Rows" localSheetId="7" hidden="1">'Tab 4 - LT Liabilities'!$55:$55,'Tab 4 - LT Liabilities'!$58:$59,'Tab 4 - LT Liabilities'!$63:$63,'Tab 4 - LT Liabilities'!$86:$86,'Tab 4 - LT Liabilities'!$91:$93,'Tab 4 - LT Liabilities'!$166:$181,'Tab 4 - LT Liabilities'!$231:$234</definedName>
    <definedName name="Z_C3905544_E3E5_4318_8AA2_F7DE16A9B8E7_.wvu.Rows" localSheetId="8" hidden="1">'Tab 4A - Short-term Debt'!$42:$43</definedName>
    <definedName name="Z_C3905544_E3E5_4318_8AA2_F7DE16A9B8E7_.wvu.Rows" localSheetId="9" hidden="1">'Tab 5 - Commitments'!$32:$33,'Tab 5 - Commitments'!$72:$74</definedName>
    <definedName name="Z_C3905544_E3E5_4318_8AA2_F7DE16A9B8E7_.wvu.Rows" localSheetId="10" hidden="1">'Tab 6 - Restatements'!$8:$8</definedName>
  </definedNames>
  <calcPr calcId="191029"/>
  <customWorkbookViews>
    <customWorkbookView name="VITA Program - Personal View" guid="{21549FED-0843-409C-B56D-2EB16B98EF5E}" mergeInterval="0" personalView="1" maximized="1" xWindow="1912" yWindow="-8" windowWidth="1936" windowHeight="1056" tabRatio="916" activeSheetId="1" showComments="commIndAndComment"/>
    <customWorkbookView name="Esther Kim, DOA - Personal View" guid="{83B11BDE-9087-4120-8F71-87939A6C277C}" mergeInterval="0" personalView="1" maximized="1" windowWidth="1280" windowHeight="778" tabRatio="918" activeSheetId="5"/>
    <customWorkbookView name="Hannah Goodman - Personal View" guid="{5A69DEB5-9E8B-40C6-849E-49B804F6ED86}" mergeInterval="0" personalView="1" maximized="1" windowWidth="1280" windowHeight="838" tabRatio="918" activeSheetId="5" showComments="commIndAndComment"/>
    <customWorkbookView name="Aneri Patel - Personal View" guid="{C3905544-E3E5-4318-8AA2-F7DE16A9B8E7}" mergeInterval="0" personalView="1" maximized="1" windowWidth="1280" windowHeight="759" tabRatio="918"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6" i="1" l="1"/>
  <c r="L138" i="1"/>
  <c r="AM111" i="2"/>
  <c r="K117" i="1"/>
  <c r="E77" i="7"/>
  <c r="G62" i="1"/>
  <c r="G73" i="7"/>
  <c r="E74" i="7"/>
  <c r="D74" i="7"/>
  <c r="D77" i="7" s="1"/>
  <c r="E67" i="7"/>
  <c r="D67" i="7"/>
  <c r="D78" i="7" l="1"/>
  <c r="L251" i="1"/>
  <c r="L245" i="1"/>
  <c r="L242" i="1"/>
  <c r="L241" i="1"/>
  <c r="L238" i="1"/>
  <c r="L237" i="1"/>
  <c r="L236" i="1"/>
  <c r="L235" i="1"/>
  <c r="L234" i="1"/>
  <c r="L233" i="1"/>
  <c r="L226" i="1"/>
  <c r="L225" i="1"/>
  <c r="L224" i="1"/>
  <c r="L220" i="1"/>
  <c r="L219" i="1"/>
  <c r="L218" i="1"/>
  <c r="L217" i="1"/>
  <c r="L205" i="1"/>
  <c r="L204" i="1"/>
  <c r="L203" i="1"/>
  <c r="L202" i="1"/>
  <c r="L201" i="1"/>
  <c r="L200" i="1"/>
  <c r="L198" i="1"/>
  <c r="L195" i="1"/>
  <c r="L193" i="1"/>
  <c r="L183" i="1"/>
  <c r="L182" i="1"/>
  <c r="L181" i="1"/>
  <c r="L179" i="1"/>
  <c r="L178" i="1"/>
  <c r="L176" i="1"/>
  <c r="L175" i="1"/>
  <c r="L172" i="1"/>
  <c r="L170" i="1"/>
  <c r="L169" i="1"/>
  <c r="L168" i="1"/>
  <c r="L165" i="1"/>
  <c r="L164" i="1"/>
  <c r="L161" i="1"/>
  <c r="L160" i="1"/>
  <c r="L159" i="1"/>
  <c r="L157" i="1"/>
  <c r="L156" i="1"/>
  <c r="L153" i="1"/>
  <c r="L150" i="1"/>
  <c r="L149" i="1"/>
  <c r="L148" i="1"/>
  <c r="L147" i="1"/>
  <c r="L146" i="1"/>
  <c r="L143" i="1"/>
  <c r="L141" i="1"/>
  <c r="L140" i="1"/>
  <c r="L139" i="1"/>
  <c r="L135" i="1"/>
  <c r="L134" i="1"/>
  <c r="L133" i="1"/>
  <c r="L132" i="1"/>
  <c r="L115" i="1"/>
  <c r="L113" i="1"/>
  <c r="L111" i="1"/>
  <c r="M111" i="1" l="1"/>
  <c r="N111" i="1" l="1"/>
  <c r="D56" i="4" s="1"/>
  <c r="C56" i="4"/>
  <c r="O111" i="1" l="1"/>
  <c r="E56" i="4" s="1"/>
  <c r="B38" i="6" l="1"/>
  <c r="B45" i="6"/>
  <c r="B44" i="6"/>
  <c r="B43" i="6"/>
  <c r="B42" i="6"/>
  <c r="B41" i="6"/>
  <c r="B40" i="6"/>
  <c r="B39" i="6"/>
  <c r="B37" i="6"/>
  <c r="B36" i="6"/>
  <c r="B16" i="17" l="1"/>
  <c r="G1" i="1"/>
  <c r="L206" i="1" s="1"/>
  <c r="D29" i="16"/>
  <c r="G16" i="6" l="1"/>
  <c r="D21" i="8" l="1"/>
  <c r="I34" i="6"/>
  <c r="F34" i="6"/>
  <c r="G34" i="6" s="1"/>
  <c r="I33" i="6"/>
  <c r="F33" i="6"/>
  <c r="G33" i="6" s="1"/>
  <c r="I26" i="6"/>
  <c r="F26" i="6"/>
  <c r="G26" i="6" s="1"/>
  <c r="H52" i="5"/>
  <c r="D147" i="9" l="1"/>
  <c r="O75" i="1" l="1"/>
  <c r="L40" i="1"/>
  <c r="C6" i="5" l="1"/>
  <c r="D4" i="4" l="1"/>
  <c r="D3" i="4"/>
  <c r="B26" i="9" l="1"/>
  <c r="A42" i="11"/>
  <c r="A41" i="11"/>
  <c r="A40" i="11"/>
  <c r="A39" i="11"/>
  <c r="A38" i="11"/>
  <c r="E32" i="10"/>
  <c r="D67" i="9" l="1"/>
  <c r="D97" i="9"/>
  <c r="A152" i="9"/>
  <c r="A151" i="9"/>
  <c r="A150" i="9"/>
  <c r="A149" i="9"/>
  <c r="A148" i="9"/>
  <c r="A147" i="9"/>
  <c r="A125" i="9"/>
  <c r="A124" i="9"/>
  <c r="A123" i="9"/>
  <c r="A122" i="9"/>
  <c r="A121" i="9"/>
  <c r="A120" i="9"/>
  <c r="A102" i="9"/>
  <c r="A99" i="9"/>
  <c r="A100" i="9"/>
  <c r="A101" i="9"/>
  <c r="A98" i="9"/>
  <c r="A97" i="9"/>
  <c r="E52" i="7" l="1"/>
  <c r="G275" i="5"/>
  <c r="G156" i="5"/>
  <c r="H156" i="5" s="1"/>
  <c r="G178" i="5"/>
  <c r="G274" i="5"/>
  <c r="G189" i="5"/>
  <c r="G153" i="5"/>
  <c r="H153" i="5" s="1"/>
  <c r="H81" i="5"/>
  <c r="I81" i="5" s="1"/>
  <c r="I52" i="5"/>
  <c r="B3" i="16" l="1"/>
  <c r="B4" i="16"/>
  <c r="B5" i="16"/>
  <c r="B6" i="16"/>
  <c r="O57" i="2" l="1"/>
  <c r="B52" i="16" l="1"/>
  <c r="C25" i="9"/>
  <c r="B25" i="9"/>
  <c r="B80" i="4" l="1"/>
  <c r="L180" i="1" l="1"/>
  <c r="B96" i="4"/>
  <c r="B64" i="4"/>
  <c r="M180" i="1" l="1"/>
  <c r="N180" i="1" s="1"/>
  <c r="D96" i="4" s="1"/>
  <c r="M138" i="1"/>
  <c r="C64" i="4" l="1"/>
  <c r="O180" i="1"/>
  <c r="E96" i="4" s="1"/>
  <c r="N138" i="1"/>
  <c r="D64" i="4" s="1"/>
  <c r="C96" i="4"/>
  <c r="O138" i="1" l="1"/>
  <c r="E64" i="4" s="1"/>
  <c r="B23" i="4"/>
  <c r="B24" i="4"/>
  <c r="B25" i="4"/>
  <c r="B26" i="4"/>
  <c r="B27" i="4"/>
  <c r="C3" i="18" l="1"/>
  <c r="B20" i="9" l="1"/>
  <c r="B40" i="9"/>
  <c r="B53" i="9" s="1"/>
  <c r="B41" i="9"/>
  <c r="B42" i="9"/>
  <c r="B43" i="9"/>
  <c r="B44" i="9"/>
  <c r="B45" i="9"/>
  <c r="B46" i="9"/>
  <c r="B47" i="9"/>
  <c r="B48" i="9"/>
  <c r="B49" i="9"/>
  <c r="B50" i="9"/>
  <c r="B51" i="9"/>
  <c r="B52" i="9"/>
  <c r="D73" i="9"/>
  <c r="D74" i="9"/>
  <c r="D75" i="9"/>
  <c r="D76" i="9"/>
  <c r="D77" i="9"/>
  <c r="D78" i="9"/>
  <c r="D79" i="9"/>
  <c r="D80" i="9"/>
  <c r="D81" i="9"/>
  <c r="D82" i="9"/>
  <c r="D83" i="9"/>
  <c r="D103" i="9"/>
  <c r="D104" i="9"/>
  <c r="D105" i="9"/>
  <c r="D106" i="9"/>
  <c r="D107" i="9"/>
  <c r="D108" i="9"/>
  <c r="D109" i="9"/>
  <c r="D110" i="9"/>
  <c r="D111" i="9"/>
  <c r="D112" i="9"/>
  <c r="D113" i="9"/>
  <c r="C26" i="9"/>
  <c r="B24" i="9"/>
  <c r="B21" i="9"/>
  <c r="B31" i="9"/>
  <c r="A185" i="9" s="1"/>
  <c r="B23" i="9"/>
  <c r="G21" i="8"/>
  <c r="E60" i="7"/>
  <c r="E59" i="7"/>
  <c r="G65" i="1"/>
  <c r="I242" i="1" l="1"/>
  <c r="H242" i="1"/>
  <c r="G242" i="1"/>
  <c r="I241" i="1"/>
  <c r="H241" i="1"/>
  <c r="G241" i="1"/>
  <c r="I204" i="1"/>
  <c r="H204" i="1"/>
  <c r="G204" i="1"/>
  <c r="I183" i="1"/>
  <c r="H183" i="1"/>
  <c r="G183" i="1"/>
  <c r="I169" i="1"/>
  <c r="H169" i="1"/>
  <c r="G169" i="1"/>
  <c r="I165" i="1"/>
  <c r="H165" i="1"/>
  <c r="G165" i="1"/>
  <c r="I147" i="1"/>
  <c r="H147" i="1"/>
  <c r="G147" i="1"/>
  <c r="I140" i="1"/>
  <c r="H140" i="1"/>
  <c r="G140" i="1"/>
  <c r="I139" i="1"/>
  <c r="H139" i="1"/>
  <c r="G139" i="1"/>
  <c r="I135" i="1"/>
  <c r="H135" i="1"/>
  <c r="G135" i="1"/>
  <c r="I108" i="1"/>
  <c r="H108" i="1"/>
  <c r="G108" i="1"/>
  <c r="I79" i="1"/>
  <c r="H79" i="1"/>
  <c r="G79" i="1"/>
  <c r="I69" i="1"/>
  <c r="H69" i="1"/>
  <c r="G69" i="1"/>
  <c r="I67" i="1"/>
  <c r="H67" i="1"/>
  <c r="G67" i="1"/>
  <c r="I65" i="1"/>
  <c r="H65" i="1"/>
  <c r="I62" i="1"/>
  <c r="H62" i="1"/>
  <c r="G25" i="7"/>
  <c r="B3" i="10" l="1"/>
  <c r="B4" i="10"/>
  <c r="B5" i="10"/>
  <c r="B6" i="10"/>
  <c r="B3" i="7"/>
  <c r="B4" i="7"/>
  <c r="B5" i="7"/>
  <c r="B6" i="7"/>
  <c r="E31" i="10" l="1"/>
  <c r="A36" i="10" s="1"/>
  <c r="C6" i="18" l="1"/>
  <c r="B101" i="4" l="1"/>
  <c r="D5" i="4" l="1"/>
  <c r="G179" i="5" l="1"/>
  <c r="G180" i="5"/>
  <c r="G181" i="5"/>
  <c r="G182" i="5"/>
  <c r="G183" i="5"/>
  <c r="G184" i="5"/>
  <c r="G185" i="5"/>
  <c r="G186" i="5"/>
  <c r="G187" i="5"/>
  <c r="G188" i="5"/>
  <c r="G190" i="5"/>
  <c r="G191" i="5"/>
  <c r="G192" i="5"/>
  <c r="G193" i="5"/>
  <c r="G194" i="5"/>
  <c r="G195" i="5"/>
  <c r="G196" i="5"/>
  <c r="G197" i="5"/>
  <c r="G154" i="5"/>
  <c r="H154" i="5" s="1"/>
  <c r="G155" i="5"/>
  <c r="H155" i="5" s="1"/>
  <c r="G157" i="5"/>
  <c r="H157" i="5" s="1"/>
  <c r="G158" i="5"/>
  <c r="H158" i="5" s="1"/>
  <c r="G159" i="5"/>
  <c r="H159" i="5" s="1"/>
  <c r="G160" i="5"/>
  <c r="H160" i="5" s="1"/>
  <c r="G161" i="5"/>
  <c r="H161" i="5" s="1"/>
  <c r="G162" i="5"/>
  <c r="H162" i="5" s="1"/>
  <c r="G163" i="5"/>
  <c r="H163" i="5" s="1"/>
  <c r="G164" i="5"/>
  <c r="H164" i="5" s="1"/>
  <c r="G165" i="5"/>
  <c r="H165" i="5" s="1"/>
  <c r="G166" i="5"/>
  <c r="H166" i="5" s="1"/>
  <c r="G167" i="5"/>
  <c r="H167" i="5" s="1"/>
  <c r="G168" i="5"/>
  <c r="H168" i="5" s="1"/>
  <c r="G169" i="5"/>
  <c r="H169" i="5" s="1"/>
  <c r="G170" i="5"/>
  <c r="H170" i="5" s="1"/>
  <c r="G171" i="5"/>
  <c r="H171" i="5" s="1"/>
  <c r="G172" i="5"/>
  <c r="H172" i="5" s="1"/>
  <c r="F199" i="5" l="1"/>
  <c r="F198" i="5"/>
  <c r="F174" i="5"/>
  <c r="E199" i="5"/>
  <c r="E174" i="5"/>
  <c r="F173" i="5"/>
  <c r="E198" i="5" l="1"/>
  <c r="E173" i="5"/>
  <c r="H120" i="9" l="1"/>
  <c r="D6" i="4" l="1"/>
  <c r="D2" i="4"/>
  <c r="B117" i="4"/>
  <c r="B118" i="4"/>
  <c r="B119" i="4"/>
  <c r="B110" i="4"/>
  <c r="B112" i="4"/>
  <c r="B113" i="4"/>
  <c r="B114" i="4"/>
  <c r="B115" i="4"/>
  <c r="B89" i="4"/>
  <c r="B90" i="4"/>
  <c r="B91" i="4"/>
  <c r="B92" i="4"/>
  <c r="B93" i="4"/>
  <c r="B97" i="4"/>
  <c r="B98" i="4"/>
  <c r="B79" i="4"/>
  <c r="B81" i="4"/>
  <c r="B83" i="4"/>
  <c r="B85" i="4"/>
  <c r="B87" i="4"/>
  <c r="B88" i="4"/>
  <c r="B67" i="4"/>
  <c r="B68" i="4"/>
  <c r="B69" i="4"/>
  <c r="B71" i="4"/>
  <c r="B72" i="4"/>
  <c r="B73" i="4"/>
  <c r="B74" i="4"/>
  <c r="B75" i="4"/>
  <c r="B76" i="4"/>
  <c r="B77" i="4"/>
  <c r="B78" i="4"/>
  <c r="B60" i="4"/>
  <c r="B61" i="4"/>
  <c r="B62" i="4"/>
  <c r="B42" i="4"/>
  <c r="B43" i="4"/>
  <c r="B44" i="4"/>
  <c r="B45" i="4"/>
  <c r="B46" i="4"/>
  <c r="B47" i="4"/>
  <c r="B48" i="4"/>
  <c r="B49" i="4"/>
  <c r="B50" i="4"/>
  <c r="B51" i="4"/>
  <c r="B52" i="4"/>
  <c r="B53" i="4"/>
  <c r="B54" i="4"/>
  <c r="B57" i="4"/>
  <c r="B58" i="4"/>
  <c r="B16" i="4"/>
  <c r="B17" i="4"/>
  <c r="B18" i="4"/>
  <c r="B19" i="4"/>
  <c r="B20" i="4"/>
  <c r="B21" i="4"/>
  <c r="B22" i="4"/>
  <c r="B28" i="4"/>
  <c r="B29" i="4"/>
  <c r="B30" i="4"/>
  <c r="B31" i="4"/>
  <c r="B36" i="4"/>
  <c r="B37" i="4"/>
  <c r="B38" i="4"/>
  <c r="B39" i="4"/>
  <c r="B41" i="4"/>
  <c r="B15" i="4"/>
  <c r="G283" i="5" l="1"/>
  <c r="H283" i="5" s="1"/>
  <c r="G293" i="5"/>
  <c r="H293" i="5" s="1"/>
  <c r="G292" i="5"/>
  <c r="H292" i="5" s="1"/>
  <c r="G291" i="5"/>
  <c r="H291" i="5" s="1"/>
  <c r="G290" i="5"/>
  <c r="H290" i="5" s="1"/>
  <c r="G289" i="5"/>
  <c r="H289" i="5" s="1"/>
  <c r="G288" i="5"/>
  <c r="H288" i="5" s="1"/>
  <c r="G287" i="5"/>
  <c r="H287" i="5" s="1"/>
  <c r="G286" i="5"/>
  <c r="H286" i="5" s="1"/>
  <c r="G285" i="5"/>
  <c r="H285" i="5" s="1"/>
  <c r="G284" i="5"/>
  <c r="H284" i="5" s="1"/>
  <c r="G282" i="5"/>
  <c r="H282" i="5" s="1"/>
  <c r="G281" i="5"/>
  <c r="H281" i="5" s="1"/>
  <c r="G280" i="5"/>
  <c r="H280" i="5" s="1"/>
  <c r="G279" i="5"/>
  <c r="H279" i="5" s="1"/>
  <c r="G278" i="5"/>
  <c r="H278" i="5" s="1"/>
  <c r="G277" i="5"/>
  <c r="H277" i="5" s="1"/>
  <c r="G276" i="5"/>
  <c r="H276" i="5" s="1"/>
  <c r="H275" i="5"/>
  <c r="H274" i="5"/>
  <c r="G269" i="5"/>
  <c r="H269" i="5" s="1"/>
  <c r="G268" i="5"/>
  <c r="H268" i="5" s="1"/>
  <c r="G267" i="5"/>
  <c r="H267" i="5" s="1"/>
  <c r="G266" i="5"/>
  <c r="H266" i="5" s="1"/>
  <c r="G265" i="5"/>
  <c r="H265" i="5" s="1"/>
  <c r="G264" i="5"/>
  <c r="H264" i="5" s="1"/>
  <c r="G263" i="5"/>
  <c r="H263" i="5" s="1"/>
  <c r="G262" i="5"/>
  <c r="H262" i="5" s="1"/>
  <c r="G261" i="5"/>
  <c r="H261" i="5" s="1"/>
  <c r="G260" i="5"/>
  <c r="H260" i="5" s="1"/>
  <c r="G259" i="5"/>
  <c r="H259" i="5" s="1"/>
  <c r="G258" i="5"/>
  <c r="H258" i="5" s="1"/>
  <c r="G257" i="5"/>
  <c r="H257" i="5" s="1"/>
  <c r="G256" i="5"/>
  <c r="H256" i="5" s="1"/>
  <c r="G255" i="5"/>
  <c r="H255" i="5" s="1"/>
  <c r="G254" i="5"/>
  <c r="H254" i="5" s="1"/>
  <c r="G253" i="5"/>
  <c r="H253" i="5" s="1"/>
  <c r="G252" i="5"/>
  <c r="H252" i="5" s="1"/>
  <c r="G251" i="5"/>
  <c r="H251" i="5" s="1"/>
  <c r="G250" i="5"/>
  <c r="H250" i="5" s="1"/>
  <c r="G231" i="5" l="1"/>
  <c r="G245" i="5" l="1"/>
  <c r="H245" i="5" s="1"/>
  <c r="G244" i="5"/>
  <c r="H244" i="5" s="1"/>
  <c r="G243" i="5"/>
  <c r="H243" i="5" s="1"/>
  <c r="G242" i="5"/>
  <c r="H242" i="5" s="1"/>
  <c r="G241" i="5"/>
  <c r="H241" i="5" s="1"/>
  <c r="G240" i="5"/>
  <c r="H240" i="5" s="1"/>
  <c r="G239" i="5"/>
  <c r="H239" i="5" s="1"/>
  <c r="G238" i="5"/>
  <c r="H238" i="5" s="1"/>
  <c r="G237" i="5"/>
  <c r="H237" i="5" s="1"/>
  <c r="G236" i="5"/>
  <c r="H236" i="5" s="1"/>
  <c r="G235" i="5"/>
  <c r="H235" i="5" s="1"/>
  <c r="G234" i="5"/>
  <c r="H234" i="5" s="1"/>
  <c r="G233" i="5"/>
  <c r="H233" i="5" s="1"/>
  <c r="G232" i="5"/>
  <c r="H232" i="5" s="1"/>
  <c r="H231" i="5"/>
  <c r="G230" i="5"/>
  <c r="H230" i="5" s="1"/>
  <c r="G229" i="5"/>
  <c r="H229" i="5" s="1"/>
  <c r="G228" i="5"/>
  <c r="H228" i="5" s="1"/>
  <c r="G227" i="5"/>
  <c r="H227" i="5" s="1"/>
  <c r="G226" i="5"/>
  <c r="H226" i="5" s="1"/>
  <c r="G221" i="5"/>
  <c r="H221" i="5" s="1"/>
  <c r="G220" i="5"/>
  <c r="H220" i="5" s="1"/>
  <c r="G219" i="5"/>
  <c r="H219" i="5" s="1"/>
  <c r="G218" i="5"/>
  <c r="H218" i="5" s="1"/>
  <c r="G217" i="5"/>
  <c r="H217" i="5" s="1"/>
  <c r="G216" i="5"/>
  <c r="H216" i="5" s="1"/>
  <c r="G215" i="5"/>
  <c r="H215" i="5" s="1"/>
  <c r="G214" i="5"/>
  <c r="H214" i="5" s="1"/>
  <c r="G213" i="5"/>
  <c r="H213" i="5" s="1"/>
  <c r="G212" i="5"/>
  <c r="H212" i="5" s="1"/>
  <c r="G211" i="5"/>
  <c r="H211" i="5" s="1"/>
  <c r="G210" i="5"/>
  <c r="H210" i="5" s="1"/>
  <c r="G209" i="5"/>
  <c r="H209" i="5" s="1"/>
  <c r="G208" i="5"/>
  <c r="H208" i="5" s="1"/>
  <c r="G207" i="5"/>
  <c r="H207" i="5" s="1"/>
  <c r="G206" i="5"/>
  <c r="H206" i="5" s="1"/>
  <c r="G205" i="5"/>
  <c r="H205" i="5" s="1"/>
  <c r="G204" i="5"/>
  <c r="H204" i="5" s="1"/>
  <c r="G203" i="5"/>
  <c r="H203" i="5" s="1"/>
  <c r="G202" i="5"/>
  <c r="H202" i="5" s="1"/>
  <c r="H197" i="5"/>
  <c r="H196" i="5"/>
  <c r="H195" i="5"/>
  <c r="H194" i="5"/>
  <c r="H193" i="5"/>
  <c r="H192" i="5"/>
  <c r="H191" i="5"/>
  <c r="H190" i="5"/>
  <c r="H189" i="5"/>
  <c r="H188" i="5"/>
  <c r="H187" i="5"/>
  <c r="H186" i="5"/>
  <c r="H185" i="5"/>
  <c r="H184" i="5"/>
  <c r="H183" i="5"/>
  <c r="H182" i="5"/>
  <c r="H181" i="5"/>
  <c r="H180" i="5"/>
  <c r="H179" i="5"/>
  <c r="H178" i="5"/>
  <c r="M96" i="2" l="1"/>
  <c r="H131" i="5" l="1"/>
  <c r="H97" i="5"/>
  <c r="F45" i="6" l="1"/>
  <c r="G45" i="6" s="1"/>
  <c r="F44" i="6"/>
  <c r="G44" i="6" s="1"/>
  <c r="F43" i="6"/>
  <c r="G43" i="6" s="1"/>
  <c r="F42" i="6"/>
  <c r="G42" i="6" s="1"/>
  <c r="F41" i="6"/>
  <c r="G41" i="6" s="1"/>
  <c r="F40" i="6"/>
  <c r="G40" i="6" s="1"/>
  <c r="F39" i="6"/>
  <c r="G39" i="6" s="1"/>
  <c r="F38" i="6"/>
  <c r="G38" i="6" s="1"/>
  <c r="F37" i="6"/>
  <c r="G37" i="6" s="1"/>
  <c r="F36" i="6"/>
  <c r="G36" i="6" s="1"/>
  <c r="F32" i="6"/>
  <c r="G32" i="6" s="1"/>
  <c r="F31" i="6"/>
  <c r="G31" i="6" s="1"/>
  <c r="F30" i="6"/>
  <c r="G30" i="6" s="1"/>
  <c r="F29" i="6"/>
  <c r="G29" i="6" s="1"/>
  <c r="F28" i="6"/>
  <c r="F27" i="6"/>
  <c r="G27" i="6" s="1"/>
  <c r="F25" i="6"/>
  <c r="G25" i="6" s="1"/>
  <c r="F24" i="6"/>
  <c r="G24" i="6" s="1"/>
  <c r="F23" i="6"/>
  <c r="G23" i="6" s="1"/>
  <c r="F22" i="6"/>
  <c r="G22" i="6" s="1"/>
  <c r="F21" i="6"/>
  <c r="G21" i="6" s="1"/>
  <c r="F20" i="6"/>
  <c r="G20" i="6" s="1"/>
  <c r="F19" i="6"/>
  <c r="G19" i="6" s="1"/>
  <c r="F18" i="6"/>
  <c r="G18" i="6" s="1"/>
  <c r="F17" i="6"/>
  <c r="G17" i="6" s="1"/>
  <c r="F16" i="6"/>
  <c r="A9" i="6"/>
  <c r="C6" i="6"/>
  <c r="C5" i="6"/>
  <c r="C4" i="6"/>
  <c r="C3" i="6"/>
  <c r="C2" i="6"/>
  <c r="I45" i="6"/>
  <c r="I44" i="6"/>
  <c r="I43" i="6"/>
  <c r="I42" i="6"/>
  <c r="I41" i="6"/>
  <c r="G28" i="6" l="1"/>
  <c r="H304" i="5"/>
  <c r="H305" i="5" s="1"/>
  <c r="C5" i="5"/>
  <c r="C4" i="5"/>
  <c r="C3" i="5"/>
  <c r="B3" i="8" l="1"/>
  <c r="I40" i="6" l="1"/>
  <c r="I39" i="6"/>
  <c r="I38" i="6"/>
  <c r="I37" i="6"/>
  <c r="I36" i="6"/>
  <c r="I32" i="6"/>
  <c r="I31" i="6"/>
  <c r="I30" i="6"/>
  <c r="I29" i="6"/>
  <c r="I28" i="6"/>
  <c r="I27" i="6"/>
  <c r="I25" i="6"/>
  <c r="I24" i="6"/>
  <c r="I23" i="6"/>
  <c r="I22" i="6"/>
  <c r="I21" i="6"/>
  <c r="I20" i="6"/>
  <c r="I19" i="6"/>
  <c r="I18" i="6"/>
  <c r="I17" i="6"/>
  <c r="I16" i="6"/>
  <c r="AM307" i="2" l="1"/>
  <c r="AK307" i="2"/>
  <c r="O307" i="2"/>
  <c r="M307" i="2"/>
  <c r="K307" i="2"/>
  <c r="AK292" i="2"/>
  <c r="O292" i="2"/>
  <c r="M292" i="2"/>
  <c r="K292" i="2"/>
  <c r="AM284" i="2"/>
  <c r="AK284" i="2"/>
  <c r="O284" i="2"/>
  <c r="M284" i="2"/>
  <c r="K284" i="2"/>
  <c r="AM271" i="2"/>
  <c r="AK271" i="2"/>
  <c r="O271" i="2"/>
  <c r="M271" i="2"/>
  <c r="K271" i="2"/>
  <c r="AM257" i="2"/>
  <c r="AK257" i="2"/>
  <c r="O257" i="2"/>
  <c r="M257" i="2"/>
  <c r="K257" i="2"/>
  <c r="AK249" i="2"/>
  <c r="O249" i="2"/>
  <c r="M249" i="2"/>
  <c r="K249" i="2"/>
  <c r="AM239" i="2"/>
  <c r="AK239" i="2"/>
  <c r="O239" i="2"/>
  <c r="M239" i="2"/>
  <c r="K239" i="2"/>
  <c r="AM219" i="2"/>
  <c r="AK219" i="2"/>
  <c r="O219" i="2"/>
  <c r="M219" i="2"/>
  <c r="K219" i="2"/>
  <c r="AM213" i="2"/>
  <c r="AK213" i="2"/>
  <c r="O213" i="2"/>
  <c r="M213" i="2"/>
  <c r="K213" i="2"/>
  <c r="AK208" i="2"/>
  <c r="O208" i="2"/>
  <c r="M208" i="2"/>
  <c r="K208" i="2"/>
  <c r="AM199" i="2"/>
  <c r="AK199" i="2"/>
  <c r="O199" i="2"/>
  <c r="M199" i="2"/>
  <c r="K199" i="2"/>
  <c r="AM177" i="2"/>
  <c r="AK177" i="2"/>
  <c r="O177" i="2"/>
  <c r="M177" i="2"/>
  <c r="K177" i="2"/>
  <c r="AM165" i="2"/>
  <c r="AK165" i="2"/>
  <c r="O165" i="2"/>
  <c r="M165" i="2"/>
  <c r="K165" i="2"/>
  <c r="AM158" i="2"/>
  <c r="AK158" i="2"/>
  <c r="O158" i="2"/>
  <c r="M158" i="2"/>
  <c r="K158" i="2"/>
  <c r="AM143" i="2"/>
  <c r="AK143" i="2"/>
  <c r="O143" i="2"/>
  <c r="M143" i="2"/>
  <c r="K143" i="2"/>
  <c r="AM129" i="2"/>
  <c r="AK129" i="2"/>
  <c r="O129" i="2"/>
  <c r="K129" i="2"/>
  <c r="M129" i="2"/>
  <c r="AK124" i="2"/>
  <c r="O124" i="2"/>
  <c r="M124" i="2"/>
  <c r="K124" i="2"/>
  <c r="AM103" i="2"/>
  <c r="AK103" i="2"/>
  <c r="O103" i="2"/>
  <c r="M103" i="2"/>
  <c r="K103" i="2"/>
  <c r="AM96" i="2"/>
  <c r="AK96" i="2"/>
  <c r="O96" i="2"/>
  <c r="K96" i="2"/>
  <c r="AM89" i="2"/>
  <c r="AK89" i="2"/>
  <c r="O89" i="2"/>
  <c r="M89" i="2"/>
  <c r="K89" i="2"/>
  <c r="AM74" i="2"/>
  <c r="AK74" i="2"/>
  <c r="O74" i="2"/>
  <c r="M74" i="2"/>
  <c r="K74" i="2"/>
  <c r="AM57" i="2"/>
  <c r="AK57" i="2"/>
  <c r="K57" i="2"/>
  <c r="M57" i="2"/>
  <c r="AM50" i="2"/>
  <c r="AK50" i="2"/>
  <c r="O50" i="2"/>
  <c r="M50" i="2"/>
  <c r="K50" i="2"/>
  <c r="AM42" i="2"/>
  <c r="AK42" i="2"/>
  <c r="AK111" i="2" s="1"/>
  <c r="O42" i="2"/>
  <c r="O111" i="2" s="1"/>
  <c r="K42" i="2"/>
  <c r="K111" i="2" s="1"/>
  <c r="M42" i="2"/>
  <c r="A11" i="2"/>
  <c r="M111" i="2" l="1"/>
  <c r="M115" i="2" s="1"/>
  <c r="AM221" i="2"/>
  <c r="AM241" i="2" s="1"/>
  <c r="AM245" i="2" s="1"/>
  <c r="AM286" i="2"/>
  <c r="AM288" i="2" s="1"/>
  <c r="O286" i="2"/>
  <c r="O288" i="2" s="1"/>
  <c r="M221" i="2"/>
  <c r="M241" i="2" s="1"/>
  <c r="M245" i="2" s="1"/>
  <c r="I317" i="2" s="1"/>
  <c r="K115" i="2"/>
  <c r="AM179" i="2"/>
  <c r="AM183" i="2" s="1"/>
  <c r="AM200" i="2" s="1"/>
  <c r="AK286" i="2"/>
  <c r="AK288" i="2" s="1"/>
  <c r="AK221" i="2"/>
  <c r="AK241" i="2" s="1"/>
  <c r="AK245" i="2" s="1"/>
  <c r="I319" i="2" s="1"/>
  <c r="AK179" i="2"/>
  <c r="AK183" i="2" s="1"/>
  <c r="AK115" i="2"/>
  <c r="O221" i="2"/>
  <c r="O241" i="2" s="1"/>
  <c r="O245" i="2" s="1"/>
  <c r="I318" i="2" s="1"/>
  <c r="O179" i="2"/>
  <c r="O183" i="2" s="1"/>
  <c r="M286" i="2"/>
  <c r="M288" i="2" s="1"/>
  <c r="K286" i="2"/>
  <c r="K288" i="2" s="1"/>
  <c r="K221" i="2"/>
  <c r="K241" i="2" s="1"/>
  <c r="K245" i="2" s="1"/>
  <c r="A206" i="2"/>
  <c r="A121" i="2"/>
  <c r="O115" i="2"/>
  <c r="AM115" i="2"/>
  <c r="K179" i="2"/>
  <c r="K183" i="2" s="1"/>
  <c r="M179" i="2"/>
  <c r="M183" i="2" s="1"/>
  <c r="K200" i="2" l="1"/>
  <c r="AK200" i="2"/>
  <c r="O200" i="2"/>
  <c r="M200" i="2"/>
  <c r="I316" i="2"/>
  <c r="I320" i="2" s="1"/>
  <c r="K247" i="2"/>
  <c r="AK247" i="2"/>
  <c r="O247" i="2"/>
  <c r="M247" i="2"/>
  <c r="H75" i="5"/>
  <c r="H46" i="5"/>
  <c r="D43" i="7" l="1"/>
  <c r="D42" i="7"/>
  <c r="D41" i="7"/>
  <c r="G41" i="7"/>
  <c r="G42" i="7"/>
  <c r="G43" i="7"/>
  <c r="G40" i="7"/>
  <c r="G39" i="7"/>
  <c r="C89" i="9" l="1"/>
  <c r="B89" i="9"/>
  <c r="D87" i="9"/>
  <c r="D85" i="9"/>
  <c r="D84" i="9"/>
  <c r="D1" i="4" l="1"/>
  <c r="C1" i="6"/>
  <c r="E40" i="7"/>
  <c r="E41" i="7"/>
  <c r="E42" i="7"/>
  <c r="E43" i="7"/>
  <c r="E39" i="7"/>
  <c r="D39" i="7"/>
  <c r="D40" i="7"/>
  <c r="B90" i="9" l="1"/>
  <c r="F295" i="5" l="1"/>
  <c r="F294" i="5"/>
  <c r="F271" i="5"/>
  <c r="F270" i="5"/>
  <c r="F247" i="5"/>
  <c r="F246" i="5"/>
  <c r="F223" i="5"/>
  <c r="F222" i="5"/>
  <c r="J147" i="5"/>
  <c r="H147" i="5"/>
  <c r="J139" i="5"/>
  <c r="H139" i="5"/>
  <c r="J131" i="5"/>
  <c r="J123" i="5"/>
  <c r="H123" i="5"/>
  <c r="H111" i="5"/>
  <c r="H110" i="5"/>
  <c r="H109" i="5"/>
  <c r="H108" i="5"/>
  <c r="H105" i="5"/>
  <c r="H104" i="5"/>
  <c r="H103" i="5"/>
  <c r="H102" i="5"/>
  <c r="H78" i="5"/>
  <c r="H67" i="5"/>
  <c r="H49" i="5"/>
  <c r="H38" i="5"/>
  <c r="H32" i="5"/>
  <c r="H31" i="5"/>
  <c r="A27" i="5"/>
  <c r="C2" i="5"/>
  <c r="I39" i="5" l="1"/>
  <c r="H40" i="5"/>
  <c r="H69" i="5"/>
  <c r="I68" i="5"/>
  <c r="H33" i="5"/>
  <c r="H35" i="5" s="1"/>
  <c r="H96" i="5"/>
  <c r="H106" i="5"/>
  <c r="H298" i="5" s="1"/>
  <c r="H299" i="5" s="1"/>
  <c r="H112" i="5"/>
  <c r="E47" i="6" l="1"/>
  <c r="E49" i="6"/>
  <c r="D47" i="6"/>
  <c r="D49" i="6"/>
  <c r="H113" i="5"/>
  <c r="J115" i="5" l="1"/>
  <c r="H115" i="5"/>
  <c r="F49" i="6"/>
  <c r="F47" i="6"/>
  <c r="K63" i="1"/>
  <c r="D26" i="7"/>
  <c r="D44" i="7" l="1"/>
  <c r="D45" i="7"/>
  <c r="A10" i="1"/>
  <c r="C53" i="16"/>
  <c r="A13" i="12" l="1"/>
  <c r="A9" i="11" l="1"/>
  <c r="A9" i="10"/>
  <c r="A10" i="9"/>
  <c r="J177" i="8"/>
  <c r="A10" i="8" l="1"/>
  <c r="A11" i="7"/>
  <c r="C1" i="5" l="1"/>
  <c r="L58" i="1" l="1"/>
  <c r="M58" i="1" l="1"/>
  <c r="C28" i="4" s="1"/>
  <c r="N58" i="1" l="1"/>
  <c r="O58" i="1" s="1"/>
  <c r="D28" i="4" l="1"/>
  <c r="E28" i="4"/>
  <c r="D86" i="9"/>
  <c r="B2" i="9" l="1"/>
  <c r="C1" i="17"/>
  <c r="M40" i="1"/>
  <c r="L41" i="1"/>
  <c r="L42" i="1"/>
  <c r="L43" i="1"/>
  <c r="L44" i="1"/>
  <c r="L45" i="1"/>
  <c r="L46" i="1"/>
  <c r="L47" i="1"/>
  <c r="L51" i="1"/>
  <c r="M51" i="1" s="1"/>
  <c r="C23" i="4" s="1"/>
  <c r="L52" i="1"/>
  <c r="L53" i="1"/>
  <c r="L54" i="1"/>
  <c r="L55" i="1"/>
  <c r="L59" i="1"/>
  <c r="L60" i="1"/>
  <c r="L61" i="1"/>
  <c r="L62" i="1"/>
  <c r="L65" i="1"/>
  <c r="L67" i="1"/>
  <c r="L69" i="1"/>
  <c r="L71" i="1"/>
  <c r="L73" i="1"/>
  <c r="L76" i="1"/>
  <c r="L77" i="1"/>
  <c r="L78" i="1"/>
  <c r="L79" i="1"/>
  <c r="L88" i="1"/>
  <c r="L89" i="1"/>
  <c r="L90" i="1"/>
  <c r="L91" i="1"/>
  <c r="L92" i="1"/>
  <c r="L93" i="1"/>
  <c r="L94" i="1"/>
  <c r="L98" i="1"/>
  <c r="L99" i="1"/>
  <c r="L100" i="1"/>
  <c r="L101" i="1"/>
  <c r="L105" i="1"/>
  <c r="L106" i="1"/>
  <c r="L107" i="1"/>
  <c r="L108" i="1"/>
  <c r="L119" i="1"/>
  <c r="M119" i="1" s="1"/>
  <c r="B2" i="8"/>
  <c r="L246" i="1"/>
  <c r="M246" i="1" s="1"/>
  <c r="L244" i="1"/>
  <c r="L243" i="1"/>
  <c r="L199" i="1"/>
  <c r="L188" i="1"/>
  <c r="M188" i="1" s="1"/>
  <c r="L171" i="1"/>
  <c r="L162" i="1"/>
  <c r="L163" i="1"/>
  <c r="G137" i="7"/>
  <c r="G136" i="7"/>
  <c r="G111" i="7"/>
  <c r="G110" i="7"/>
  <c r="C31" i="9"/>
  <c r="C20" i="9"/>
  <c r="F67" i="9" s="1"/>
  <c r="C21" i="9"/>
  <c r="F97" i="9" s="1"/>
  <c r="C23" i="9"/>
  <c r="F147" i="9" s="1"/>
  <c r="C24" i="9"/>
  <c r="G124" i="7"/>
  <c r="G123" i="7"/>
  <c r="G98" i="7"/>
  <c r="G97" i="7"/>
  <c r="D35" i="7"/>
  <c r="K48" i="1"/>
  <c r="D2" i="12"/>
  <c r="D20" i="12" s="1"/>
  <c r="D31" i="12" s="1"/>
  <c r="K251" i="1" s="1"/>
  <c r="K166" i="1"/>
  <c r="H123" i="9"/>
  <c r="G123" i="9"/>
  <c r="I122" i="9"/>
  <c r="I121" i="9"/>
  <c r="K136" i="1"/>
  <c r="K184" i="1"/>
  <c r="C2" i="18"/>
  <c r="C4" i="18"/>
  <c r="C5" i="18"/>
  <c r="C2" i="17"/>
  <c r="B2" i="16"/>
  <c r="A10" i="16"/>
  <c r="B15" i="16"/>
  <c r="B43" i="16" s="1"/>
  <c r="B48" i="16"/>
  <c r="C48" i="16"/>
  <c r="B49" i="16"/>
  <c r="C49" i="16"/>
  <c r="B51" i="16"/>
  <c r="C51" i="16"/>
  <c r="C52" i="16"/>
  <c r="B53" i="16"/>
  <c r="D3" i="12"/>
  <c r="D4" i="12"/>
  <c r="D5" i="12"/>
  <c r="D6" i="12"/>
  <c r="B2" i="11"/>
  <c r="B3" i="11"/>
  <c r="B4" i="11"/>
  <c r="B5" i="11"/>
  <c r="B6" i="11"/>
  <c r="B55" i="11"/>
  <c r="E60" i="11" s="1"/>
  <c r="B2" i="10"/>
  <c r="B3" i="9"/>
  <c r="B4" i="9"/>
  <c r="B5" i="9"/>
  <c r="B6" i="9"/>
  <c r="D68" i="9"/>
  <c r="D69" i="9"/>
  <c r="D70" i="9"/>
  <c r="D71" i="9"/>
  <c r="D72" i="9"/>
  <c r="D98" i="9"/>
  <c r="D99" i="9"/>
  <c r="D100" i="9"/>
  <c r="D101" i="9"/>
  <c r="D102" i="9"/>
  <c r="B114" i="9"/>
  <c r="C114" i="9"/>
  <c r="B115" i="9"/>
  <c r="E123" i="9"/>
  <c r="F123" i="9"/>
  <c r="B137" i="9"/>
  <c r="B139" i="9" s="1"/>
  <c r="D148" i="9"/>
  <c r="D149" i="9"/>
  <c r="D150" i="9"/>
  <c r="D151" i="9"/>
  <c r="D152" i="9"/>
  <c r="D153" i="9"/>
  <c r="D154" i="9"/>
  <c r="D155" i="9"/>
  <c r="D156" i="9"/>
  <c r="D157" i="9"/>
  <c r="D158" i="9"/>
  <c r="D159" i="9"/>
  <c r="D160" i="9"/>
  <c r="D161" i="9"/>
  <c r="D162" i="9"/>
  <c r="D163" i="9"/>
  <c r="B164" i="9"/>
  <c r="C164" i="9"/>
  <c r="B165" i="9"/>
  <c r="B4" i="8"/>
  <c r="B5" i="8"/>
  <c r="B6" i="8"/>
  <c r="D30" i="8"/>
  <c r="D39" i="8"/>
  <c r="B2" i="7"/>
  <c r="E26" i="7"/>
  <c r="E44" i="7" s="1"/>
  <c r="E35" i="7"/>
  <c r="M50" i="1"/>
  <c r="N50" i="1" s="1"/>
  <c r="K56" i="1"/>
  <c r="M75" i="1"/>
  <c r="N75" i="1" s="1"/>
  <c r="K80" i="1"/>
  <c r="M82" i="1"/>
  <c r="N82" i="1" s="1"/>
  <c r="G83" i="1"/>
  <c r="M83" i="1"/>
  <c r="N83" i="1" s="1"/>
  <c r="M84" i="1"/>
  <c r="N84" i="1" s="1"/>
  <c r="M85" i="1"/>
  <c r="N85" i="1" s="1"/>
  <c r="M86" i="1"/>
  <c r="N86" i="1" s="1"/>
  <c r="K95" i="1"/>
  <c r="M97" i="1"/>
  <c r="N97" i="1" s="1"/>
  <c r="K102" i="1"/>
  <c r="M104" i="1"/>
  <c r="N104" i="1" s="1"/>
  <c r="K109" i="1"/>
  <c r="G124" i="1"/>
  <c r="A127" i="1"/>
  <c r="K129" i="1"/>
  <c r="L129" i="1"/>
  <c r="M129" i="1"/>
  <c r="N129" i="1"/>
  <c r="M144" i="1"/>
  <c r="N144" i="1" s="1"/>
  <c r="K151" i="1"/>
  <c r="M155" i="1"/>
  <c r="N155" i="1" s="1"/>
  <c r="K173" i="1"/>
  <c r="G210" i="1"/>
  <c r="A213" i="1"/>
  <c r="K221" i="1"/>
  <c r="K227" i="1"/>
  <c r="M230" i="1"/>
  <c r="N230" i="1" s="1"/>
  <c r="K247" i="1"/>
  <c r="M54" i="1" l="1"/>
  <c r="N54" i="1" s="1"/>
  <c r="M55" i="1"/>
  <c r="M159" i="1"/>
  <c r="M178" i="1"/>
  <c r="M217" i="1"/>
  <c r="M98" i="1"/>
  <c r="N98" i="1" s="1"/>
  <c r="M65" i="1"/>
  <c r="C33" i="4" s="1"/>
  <c r="M133" i="1"/>
  <c r="M140" i="1"/>
  <c r="M147" i="1"/>
  <c r="M153" i="1"/>
  <c r="M162" i="1"/>
  <c r="N162" i="1" s="1"/>
  <c r="M169" i="1"/>
  <c r="M179" i="1"/>
  <c r="M199" i="1"/>
  <c r="N199" i="1" s="1"/>
  <c r="M203" i="1"/>
  <c r="M218" i="1"/>
  <c r="M225" i="1"/>
  <c r="M235" i="1"/>
  <c r="M243" i="1"/>
  <c r="N243" i="1" s="1"/>
  <c r="M108" i="1"/>
  <c r="C55" i="4" s="1"/>
  <c r="M101" i="1"/>
  <c r="N101" i="1" s="1"/>
  <c r="M94" i="1"/>
  <c r="M90" i="1"/>
  <c r="N90" i="1" s="1"/>
  <c r="M78" i="1"/>
  <c r="N78" i="1" s="1"/>
  <c r="M71" i="1"/>
  <c r="N71" i="1" s="1"/>
  <c r="M62" i="1"/>
  <c r="C32" i="4" s="1"/>
  <c r="M139" i="1"/>
  <c r="M150" i="1"/>
  <c r="M172" i="1"/>
  <c r="M198" i="1"/>
  <c r="M224" i="1"/>
  <c r="M238" i="1"/>
  <c r="M242" i="1"/>
  <c r="M105" i="1"/>
  <c r="C52" i="4" s="1"/>
  <c r="M91" i="1"/>
  <c r="C44" i="4" s="1"/>
  <c r="M79" i="1"/>
  <c r="M73" i="1"/>
  <c r="M52" i="1"/>
  <c r="C24" i="4" s="1"/>
  <c r="M134" i="1"/>
  <c r="M141" i="1"/>
  <c r="M148" i="1"/>
  <c r="M165" i="1"/>
  <c r="M161" i="1"/>
  <c r="M157" i="1"/>
  <c r="M170" i="1"/>
  <c r="M176" i="1"/>
  <c r="M181" i="1"/>
  <c r="M200" i="1"/>
  <c r="M204" i="1"/>
  <c r="M219" i="1"/>
  <c r="M226" i="1"/>
  <c r="M236" i="1"/>
  <c r="C128" i="4"/>
  <c r="M244" i="1"/>
  <c r="M107" i="1"/>
  <c r="C54" i="4" s="1"/>
  <c r="M100" i="1"/>
  <c r="C50" i="4" s="1"/>
  <c r="M93" i="1"/>
  <c r="N93" i="1" s="1"/>
  <c r="M89" i="1"/>
  <c r="N89" i="1" s="1"/>
  <c r="M77" i="1"/>
  <c r="C39" i="4" s="1"/>
  <c r="M69" i="1"/>
  <c r="N69" i="1" s="1"/>
  <c r="M61" i="1"/>
  <c r="M132" i="1"/>
  <c r="M146" i="1"/>
  <c r="M163" i="1"/>
  <c r="N163" i="1" s="1"/>
  <c r="M168" i="1"/>
  <c r="M183" i="1"/>
  <c r="M202" i="1"/>
  <c r="M234" i="1"/>
  <c r="M113" i="1"/>
  <c r="M135" i="1"/>
  <c r="M143" i="1"/>
  <c r="M149" i="1"/>
  <c r="M164" i="1"/>
  <c r="M160" i="1"/>
  <c r="M156" i="1"/>
  <c r="M171" i="1"/>
  <c r="M182" i="1"/>
  <c r="M195" i="1"/>
  <c r="M201" i="1"/>
  <c r="M205" i="1"/>
  <c r="M220" i="1"/>
  <c r="M233" i="1"/>
  <c r="M237" i="1"/>
  <c r="M241" i="1"/>
  <c r="M245" i="1"/>
  <c r="M115" i="1"/>
  <c r="M106" i="1"/>
  <c r="C53" i="4" s="1"/>
  <c r="M99" i="1"/>
  <c r="N99" i="1" s="1"/>
  <c r="M92" i="1"/>
  <c r="C45" i="4" s="1"/>
  <c r="M88" i="1"/>
  <c r="C41" i="4" s="1"/>
  <c r="M76" i="1"/>
  <c r="C38" i="4" s="1"/>
  <c r="M67" i="1"/>
  <c r="C34" i="4" s="1"/>
  <c r="M60" i="1"/>
  <c r="N60" i="1" s="1"/>
  <c r="M53" i="1"/>
  <c r="M45" i="1"/>
  <c r="C20" i="4" s="1"/>
  <c r="M41" i="1"/>
  <c r="N41" i="1" s="1"/>
  <c r="M44" i="1"/>
  <c r="M47" i="1"/>
  <c r="M43" i="1"/>
  <c r="C18" i="4" s="1"/>
  <c r="M46" i="1"/>
  <c r="C21" i="4" s="1"/>
  <c r="M42" i="1"/>
  <c r="G31" i="9"/>
  <c r="B32" i="9"/>
  <c r="D41" i="8"/>
  <c r="D43" i="8" s="1"/>
  <c r="M175" i="1"/>
  <c r="L184" i="1"/>
  <c r="M184" i="1" s="1"/>
  <c r="N184" i="1" s="1"/>
  <c r="K186" i="1"/>
  <c r="C41" i="9"/>
  <c r="D41" i="9" s="1"/>
  <c r="C45" i="9"/>
  <c r="D45" i="9" s="1"/>
  <c r="C49" i="9"/>
  <c r="D49" i="9" s="1"/>
  <c r="C43" i="9"/>
  <c r="D43" i="9" s="1"/>
  <c r="C47" i="9"/>
  <c r="D47" i="9" s="1"/>
  <c r="C40" i="9"/>
  <c r="C44" i="9"/>
  <c r="D44" i="9" s="1"/>
  <c r="C48" i="9"/>
  <c r="D48" i="9" s="1"/>
  <c r="C52" i="9"/>
  <c r="D52" i="9" s="1"/>
  <c r="C51" i="9"/>
  <c r="D51" i="9" s="1"/>
  <c r="C42" i="9"/>
  <c r="D42" i="9" s="1"/>
  <c r="C46" i="9"/>
  <c r="D46" i="9" s="1"/>
  <c r="C50" i="9"/>
  <c r="D50" i="9" s="1"/>
  <c r="D24" i="9"/>
  <c r="E24" i="9" s="1"/>
  <c r="G41" i="8"/>
  <c r="C15" i="4"/>
  <c r="B44" i="16"/>
  <c r="C134" i="4"/>
  <c r="I123" i="9"/>
  <c r="D114" i="9"/>
  <c r="D31" i="9"/>
  <c r="E31" i="9" s="1"/>
  <c r="D164" i="9"/>
  <c r="D89" i="9"/>
  <c r="D52" i="16"/>
  <c r="E52" i="16" s="1"/>
  <c r="D51" i="16"/>
  <c r="E51" i="16" s="1"/>
  <c r="D48" i="16"/>
  <c r="E48" i="16" s="1"/>
  <c r="N188" i="1"/>
  <c r="O188" i="1" s="1"/>
  <c r="N119" i="1"/>
  <c r="O119" i="1" s="1"/>
  <c r="N51" i="1"/>
  <c r="N40" i="1"/>
  <c r="D26" i="9"/>
  <c r="E26" i="9" s="1"/>
  <c r="D20" i="9"/>
  <c r="L48" i="1"/>
  <c r="M59" i="1"/>
  <c r="L63" i="1"/>
  <c r="M63" i="1" s="1"/>
  <c r="N63" i="1" s="1"/>
  <c r="M193" i="1"/>
  <c r="K229" i="1"/>
  <c r="K249" i="1" s="1"/>
  <c r="D25" i="9"/>
  <c r="E25" i="9" s="1"/>
  <c r="D23" i="9"/>
  <c r="E23" i="9" s="1"/>
  <c r="D21" i="9"/>
  <c r="E21" i="9" s="1"/>
  <c r="K121" i="1"/>
  <c r="C32" i="9"/>
  <c r="L95" i="1"/>
  <c r="M95" i="1" s="1"/>
  <c r="N95" i="1" s="1"/>
  <c r="G209" i="1"/>
  <c r="G123" i="1"/>
  <c r="B1" i="7"/>
  <c r="B1" i="11"/>
  <c r="C1" i="18"/>
  <c r="G82" i="1"/>
  <c r="B1" i="8"/>
  <c r="B1" i="9"/>
  <c r="B1" i="10"/>
  <c r="D1" i="12"/>
  <c r="B1" i="16"/>
  <c r="D53" i="16"/>
  <c r="E53" i="16" s="1"/>
  <c r="D49" i="16"/>
  <c r="E49" i="16" s="1"/>
  <c r="L173" i="1"/>
  <c r="M173" i="1" s="1"/>
  <c r="N173" i="1" s="1"/>
  <c r="L109" i="1"/>
  <c r="M109" i="1" s="1"/>
  <c r="N109" i="1" s="1"/>
  <c r="L102" i="1"/>
  <c r="M102" i="1" s="1"/>
  <c r="N102" i="1" s="1"/>
  <c r="L56" i="1"/>
  <c r="M56" i="1" s="1"/>
  <c r="N56" i="1" s="1"/>
  <c r="L80" i="1"/>
  <c r="M80" i="1" s="1"/>
  <c r="N80" i="1" s="1"/>
  <c r="L151" i="1"/>
  <c r="M151" i="1" s="1"/>
  <c r="N151" i="1" s="1"/>
  <c r="L227" i="1"/>
  <c r="M227" i="1" s="1"/>
  <c r="N227" i="1" s="1"/>
  <c r="L166" i="1"/>
  <c r="M166" i="1" s="1"/>
  <c r="N166" i="1" s="1"/>
  <c r="L136" i="1"/>
  <c r="L221" i="1"/>
  <c r="L247" i="1"/>
  <c r="M247" i="1" s="1"/>
  <c r="N247" i="1" s="1"/>
  <c r="M251" i="1"/>
  <c r="N251" i="1" s="1"/>
  <c r="N246" i="1"/>
  <c r="O246" i="1" s="1"/>
  <c r="O93" i="1" l="1"/>
  <c r="O54" i="1"/>
  <c r="C27" i="4"/>
  <c r="N55" i="1"/>
  <c r="O55" i="1" s="1"/>
  <c r="E27" i="4" s="1"/>
  <c r="C133" i="4"/>
  <c r="O60" i="1"/>
  <c r="E30" i="4" s="1"/>
  <c r="C122" i="4"/>
  <c r="C93" i="4"/>
  <c r="C75" i="4"/>
  <c r="C119" i="4"/>
  <c r="C121" i="4"/>
  <c r="N160" i="1"/>
  <c r="O160" i="1" s="1"/>
  <c r="E79" i="4" s="1"/>
  <c r="N183" i="1"/>
  <c r="D99" i="4" s="1"/>
  <c r="C114" i="4"/>
  <c r="C84" i="4"/>
  <c r="C92" i="4"/>
  <c r="O69" i="1"/>
  <c r="E35" i="4" s="1"/>
  <c r="O89" i="1"/>
  <c r="E42" i="4" s="1"/>
  <c r="O105" i="1"/>
  <c r="C115" i="4"/>
  <c r="C83" i="4"/>
  <c r="C85" i="4"/>
  <c r="C109" i="4"/>
  <c r="C71" i="4"/>
  <c r="N242" i="1"/>
  <c r="D130" i="4" s="1"/>
  <c r="N235" i="1"/>
  <c r="D123" i="4" s="1"/>
  <c r="O235" i="1"/>
  <c r="E123" i="4" s="1"/>
  <c r="C74" i="4"/>
  <c r="N159" i="1"/>
  <c r="O159" i="1" s="1"/>
  <c r="E78" i="4" s="1"/>
  <c r="O90" i="1"/>
  <c r="E43" i="4" s="1"/>
  <c r="N202" i="1"/>
  <c r="D107" i="4" s="1"/>
  <c r="O202" i="1"/>
  <c r="E107" i="4" s="1"/>
  <c r="N169" i="1"/>
  <c r="O169" i="1" s="1"/>
  <c r="E86" i="4" s="1"/>
  <c r="N205" i="1"/>
  <c r="D110" i="4" s="1"/>
  <c r="O205" i="1"/>
  <c r="E110" i="4" s="1"/>
  <c r="N149" i="1"/>
  <c r="D72" i="4" s="1"/>
  <c r="O149" i="1"/>
  <c r="E72" i="4" s="1"/>
  <c r="C105" i="4"/>
  <c r="C67" i="4"/>
  <c r="N238" i="1"/>
  <c r="D126" i="4" s="1"/>
  <c r="C118" i="4"/>
  <c r="N147" i="1"/>
  <c r="O147" i="1" s="1"/>
  <c r="E70" i="4" s="1"/>
  <c r="O71" i="1"/>
  <c r="E36" i="4" s="1"/>
  <c r="O101" i="1"/>
  <c r="E51" i="4" s="1"/>
  <c r="O41" i="1"/>
  <c r="E16" i="4" s="1"/>
  <c r="O113" i="1"/>
  <c r="N157" i="1"/>
  <c r="D76" i="4" s="1"/>
  <c r="N237" i="1"/>
  <c r="O237" i="1" s="1"/>
  <c r="E125" i="4" s="1"/>
  <c r="C113" i="4"/>
  <c r="N182" i="1"/>
  <c r="D98" i="4" s="1"/>
  <c r="O182" i="1"/>
  <c r="E98" i="4" s="1"/>
  <c r="C87" i="4"/>
  <c r="C88" i="4"/>
  <c r="N241" i="1"/>
  <c r="D129" i="4" s="1"/>
  <c r="O241" i="1"/>
  <c r="E129" i="4" s="1"/>
  <c r="N236" i="1"/>
  <c r="D124" i="4" s="1"/>
  <c r="O236" i="1"/>
  <c r="E124" i="4" s="1"/>
  <c r="O98" i="1"/>
  <c r="E48" i="4" s="1"/>
  <c r="C112" i="4"/>
  <c r="C106" i="4"/>
  <c r="C68" i="4"/>
  <c r="N181" i="1"/>
  <c r="D97" i="4" s="1"/>
  <c r="C62" i="4"/>
  <c r="C117" i="4"/>
  <c r="O224" i="1"/>
  <c r="C58" i="4"/>
  <c r="C102" i="4"/>
  <c r="C60" i="4"/>
  <c r="C90" i="4"/>
  <c r="O40" i="1"/>
  <c r="E15" i="4" s="1"/>
  <c r="M48" i="1"/>
  <c r="N48" i="1" s="1"/>
  <c r="L117" i="1"/>
  <c r="L121" i="1" s="1"/>
  <c r="N161" i="1"/>
  <c r="E26" i="4"/>
  <c r="E46" i="4"/>
  <c r="N153" i="1"/>
  <c r="O153" i="1" s="1"/>
  <c r="C26" i="4"/>
  <c r="O163" i="1"/>
  <c r="E82" i="4" s="1"/>
  <c r="O243" i="1"/>
  <c r="E131" i="4" s="1"/>
  <c r="O162" i="1"/>
  <c r="E81" i="4" s="1"/>
  <c r="O78" i="1"/>
  <c r="O99" i="1"/>
  <c r="E49" i="4" s="1"/>
  <c r="O199" i="1"/>
  <c r="E104" i="4" s="1"/>
  <c r="N42" i="1"/>
  <c r="N100" i="1"/>
  <c r="O100" i="1" s="1"/>
  <c r="N220" i="1"/>
  <c r="D115" i="4" s="1"/>
  <c r="N200" i="1"/>
  <c r="D105" i="4" s="1"/>
  <c r="C126" i="4"/>
  <c r="N178" i="1"/>
  <c r="D92" i="4" s="1"/>
  <c r="C129" i="4"/>
  <c r="N46" i="1"/>
  <c r="O46" i="1" s="1"/>
  <c r="C16" i="4"/>
  <c r="C104" i="4"/>
  <c r="C35" i="4"/>
  <c r="N67" i="1"/>
  <c r="D34" i="4" s="1"/>
  <c r="C49" i="4"/>
  <c r="C82" i="4"/>
  <c r="N141" i="1"/>
  <c r="D67" i="4" s="1"/>
  <c r="C80" i="4"/>
  <c r="N106" i="1"/>
  <c r="O106" i="1" s="1"/>
  <c r="N201" i="1"/>
  <c r="O201" i="1" s="1"/>
  <c r="C72" i="4"/>
  <c r="N105" i="1"/>
  <c r="D52" i="4" s="1"/>
  <c r="N217" i="1"/>
  <c r="O217" i="1" s="1"/>
  <c r="C36" i="4"/>
  <c r="C79" i="4"/>
  <c r="C76" i="4"/>
  <c r="N226" i="1"/>
  <c r="O226" i="1" s="1"/>
  <c r="N77" i="1"/>
  <c r="O77" i="1" s="1"/>
  <c r="N233" i="1"/>
  <c r="O233" i="1" s="1"/>
  <c r="C107" i="4"/>
  <c r="N62" i="1"/>
  <c r="O62" i="1" s="1"/>
  <c r="N92" i="1"/>
  <c r="O92" i="1" s="1"/>
  <c r="N219" i="1"/>
  <c r="D114" i="4" s="1"/>
  <c r="C98" i="4"/>
  <c r="N165" i="1"/>
  <c r="O165" i="1" s="1"/>
  <c r="N156" i="1"/>
  <c r="O156" i="1" s="1"/>
  <c r="C86" i="4"/>
  <c r="C78" i="4"/>
  <c r="N245" i="1"/>
  <c r="O245" i="1" s="1"/>
  <c r="N91" i="1"/>
  <c r="O91" i="1" s="1"/>
  <c r="N45" i="1"/>
  <c r="O45" i="1" s="1"/>
  <c r="C125" i="4"/>
  <c r="C51" i="4"/>
  <c r="N172" i="1"/>
  <c r="D88" i="4" s="1"/>
  <c r="N148" i="1"/>
  <c r="O148" i="1" s="1"/>
  <c r="C48" i="4"/>
  <c r="N139" i="1"/>
  <c r="O139" i="1" s="1"/>
  <c r="C65" i="4"/>
  <c r="C37" i="4"/>
  <c r="C131" i="4"/>
  <c r="C31" i="4"/>
  <c r="N170" i="1"/>
  <c r="O170" i="1" s="1"/>
  <c r="N61" i="1"/>
  <c r="O61" i="1" s="1"/>
  <c r="N133" i="1"/>
  <c r="O133" i="1" s="1"/>
  <c r="N88" i="1"/>
  <c r="O88" i="1" s="1"/>
  <c r="N168" i="1"/>
  <c r="D85" i="4" s="1"/>
  <c r="N43" i="1"/>
  <c r="O43" i="1" s="1"/>
  <c r="N73" i="1"/>
  <c r="O73" i="1" s="1"/>
  <c r="C30" i="4"/>
  <c r="C61" i="4"/>
  <c r="N171" i="1"/>
  <c r="O171" i="1" s="1"/>
  <c r="C40" i="4"/>
  <c r="N79" i="1"/>
  <c r="C73" i="4"/>
  <c r="M221" i="1"/>
  <c r="N221" i="1" s="1"/>
  <c r="N76" i="1"/>
  <c r="O76" i="1" s="1"/>
  <c r="N224" i="1"/>
  <c r="N179" i="1"/>
  <c r="O179" i="1" s="1"/>
  <c r="N143" i="1"/>
  <c r="D68" i="4" s="1"/>
  <c r="C47" i="4"/>
  <c r="C108" i="4"/>
  <c r="N203" i="1"/>
  <c r="O203" i="1" s="1"/>
  <c r="C66" i="4"/>
  <c r="N244" i="1"/>
  <c r="O244" i="1" s="1"/>
  <c r="N44" i="1"/>
  <c r="N94" i="1"/>
  <c r="O94" i="1" s="1"/>
  <c r="N115" i="1"/>
  <c r="O115" i="1" s="1"/>
  <c r="N198" i="1"/>
  <c r="O198" i="1" s="1"/>
  <c r="N176" i="1"/>
  <c r="O176" i="1" s="1"/>
  <c r="N107" i="1"/>
  <c r="N218" i="1"/>
  <c r="O218" i="1" s="1"/>
  <c r="N195" i="1"/>
  <c r="O195" i="1" s="1"/>
  <c r="N164" i="1"/>
  <c r="O164" i="1" s="1"/>
  <c r="N140" i="1"/>
  <c r="O140" i="1" s="1"/>
  <c r="C17" i="4"/>
  <c r="C110" i="4"/>
  <c r="C46" i="4"/>
  <c r="C69" i="4"/>
  <c r="C43" i="4"/>
  <c r="C123" i="4"/>
  <c r="C130" i="4"/>
  <c r="N225" i="1"/>
  <c r="D118" i="4" s="1"/>
  <c r="N175" i="1"/>
  <c r="O175" i="1" s="1"/>
  <c r="N65" i="1"/>
  <c r="D33" i="4" s="1"/>
  <c r="N108" i="1"/>
  <c r="O108" i="1" s="1"/>
  <c r="N146" i="1"/>
  <c r="O146" i="1" s="1"/>
  <c r="C70" i="4"/>
  <c r="C124" i="4"/>
  <c r="C97" i="4"/>
  <c r="C63" i="4"/>
  <c r="N132" i="1"/>
  <c r="D60" i="4" s="1"/>
  <c r="N53" i="1"/>
  <c r="O53" i="1" s="1"/>
  <c r="N234" i="1"/>
  <c r="O234" i="1" s="1"/>
  <c r="N204" i="1"/>
  <c r="O204" i="1" s="1"/>
  <c r="N150" i="1"/>
  <c r="O150" i="1" s="1"/>
  <c r="N134" i="1"/>
  <c r="O134" i="1" s="1"/>
  <c r="N52" i="1"/>
  <c r="N135" i="1"/>
  <c r="O135" i="1" s="1"/>
  <c r="C81" i="4"/>
  <c r="C103" i="4"/>
  <c r="C25" i="4"/>
  <c r="C22" i="4"/>
  <c r="N47" i="1"/>
  <c r="O47" i="1" s="1"/>
  <c r="C57" i="4"/>
  <c r="N113" i="1"/>
  <c r="C99" i="4"/>
  <c r="C42" i="4"/>
  <c r="C127" i="4"/>
  <c r="C19" i="4"/>
  <c r="C89" i="4"/>
  <c r="K253" i="1"/>
  <c r="L186" i="1"/>
  <c r="K190" i="1"/>
  <c r="D26" i="4"/>
  <c r="O51" i="1"/>
  <c r="E23" i="4" s="1"/>
  <c r="D23" i="4"/>
  <c r="D27" i="4"/>
  <c r="E20" i="9"/>
  <c r="D32" i="9"/>
  <c r="C53" i="9"/>
  <c r="D40" i="9"/>
  <c r="D53" i="9" s="1"/>
  <c r="I73" i="9"/>
  <c r="I76" i="9"/>
  <c r="I77" i="9"/>
  <c r="I80" i="9"/>
  <c r="J79" i="8"/>
  <c r="A96" i="8" s="1"/>
  <c r="C29" i="4"/>
  <c r="C101" i="4"/>
  <c r="D48" i="4"/>
  <c r="D82" i="4"/>
  <c r="D16" i="4"/>
  <c r="D35" i="4"/>
  <c r="D42" i="4"/>
  <c r="D49" i="4"/>
  <c r="D51" i="4"/>
  <c r="D131" i="4"/>
  <c r="D104" i="4"/>
  <c r="D81" i="4"/>
  <c r="D15" i="4"/>
  <c r="D36" i="4"/>
  <c r="D30" i="4"/>
  <c r="E134" i="4"/>
  <c r="D134" i="4"/>
  <c r="D43" i="4"/>
  <c r="D46" i="4"/>
  <c r="K207" i="1"/>
  <c r="N193" i="1"/>
  <c r="O193" i="1" s="1"/>
  <c r="N59" i="1"/>
  <c r="O59" i="1" s="1"/>
  <c r="L229" i="1"/>
  <c r="L249" i="1" s="1"/>
  <c r="M136" i="1"/>
  <c r="N136" i="1" s="1"/>
  <c r="O168" i="1" l="1"/>
  <c r="O225" i="1"/>
  <c r="O219" i="1"/>
  <c r="O157" i="1"/>
  <c r="E76" i="4" s="1"/>
  <c r="O238" i="1"/>
  <c r="E126" i="4" s="1"/>
  <c r="O242" i="1"/>
  <c r="E130" i="4" s="1"/>
  <c r="O183" i="1"/>
  <c r="E99" i="4" s="1"/>
  <c r="D79" i="4"/>
  <c r="D86" i="4"/>
  <c r="D70" i="4"/>
  <c r="D78" i="4"/>
  <c r="O67" i="1"/>
  <c r="E34" i="4" s="1"/>
  <c r="D125" i="4"/>
  <c r="D24" i="4"/>
  <c r="O52" i="1"/>
  <c r="E24" i="4" s="1"/>
  <c r="O181" i="1"/>
  <c r="E97" i="4" s="1"/>
  <c r="O172" i="1"/>
  <c r="E88" i="4" s="1"/>
  <c r="O220" i="1"/>
  <c r="E115" i="4" s="1"/>
  <c r="O178" i="1"/>
  <c r="E92" i="4" s="1"/>
  <c r="O161" i="1"/>
  <c r="E80" i="4" s="1"/>
  <c r="O141" i="1"/>
  <c r="E67" i="4" s="1"/>
  <c r="O42" i="1"/>
  <c r="E17" i="4" s="1"/>
  <c r="D40" i="4"/>
  <c r="O79" i="1"/>
  <c r="E40" i="4" s="1"/>
  <c r="E18" i="4"/>
  <c r="E21" i="4"/>
  <c r="O65" i="1"/>
  <c r="E33" i="4" s="1"/>
  <c r="O132" i="1"/>
  <c r="E60" i="4" s="1"/>
  <c r="O143" i="1"/>
  <c r="E68" i="4" s="1"/>
  <c r="O200" i="1"/>
  <c r="E105" i="4" s="1"/>
  <c r="D80" i="4"/>
  <c r="D84" i="4"/>
  <c r="E84" i="4"/>
  <c r="E74" i="4"/>
  <c r="E118" i="4"/>
  <c r="E85" i="4"/>
  <c r="D37" i="4"/>
  <c r="E37" i="4"/>
  <c r="E52" i="4"/>
  <c r="D47" i="4"/>
  <c r="E114" i="4"/>
  <c r="E50" i="4"/>
  <c r="D74" i="4"/>
  <c r="D17" i="4"/>
  <c r="D50" i="4"/>
  <c r="E47" i="4"/>
  <c r="D103" i="4"/>
  <c r="E103" i="4"/>
  <c r="E75" i="4"/>
  <c r="E65" i="4"/>
  <c r="E39" i="4"/>
  <c r="E22" i="4"/>
  <c r="E87" i="4"/>
  <c r="E69" i="4"/>
  <c r="E66" i="4"/>
  <c r="O107" i="1"/>
  <c r="E54" i="4" s="1"/>
  <c r="E61" i="4"/>
  <c r="E20" i="4"/>
  <c r="E32" i="4"/>
  <c r="E119" i="4"/>
  <c r="D112" i="4"/>
  <c r="E112" i="4"/>
  <c r="D53" i="4"/>
  <c r="E53" i="4"/>
  <c r="E133" i="4"/>
  <c r="E108" i="4"/>
  <c r="E73" i="4"/>
  <c r="E102" i="4"/>
  <c r="E44" i="4"/>
  <c r="E121" i="4"/>
  <c r="E117" i="4"/>
  <c r="E109" i="4"/>
  <c r="E58" i="4"/>
  <c r="D38" i="4"/>
  <c r="E38" i="4"/>
  <c r="D106" i="4"/>
  <c r="E106" i="4"/>
  <c r="E57" i="4"/>
  <c r="E25" i="4"/>
  <c r="E55" i="4"/>
  <c r="E83" i="4"/>
  <c r="E90" i="4"/>
  <c r="E93" i="4"/>
  <c r="E31" i="4"/>
  <c r="E71" i="4"/>
  <c r="E62" i="4"/>
  <c r="E122" i="4"/>
  <c r="O240" i="1"/>
  <c r="E128" i="4" s="1"/>
  <c r="E45" i="4"/>
  <c r="E113" i="4"/>
  <c r="E41" i="4"/>
  <c r="O239" i="1"/>
  <c r="E127" i="4" s="1"/>
  <c r="E63" i="4"/>
  <c r="O44" i="1"/>
  <c r="E19" i="4" s="1"/>
  <c r="E89" i="4"/>
  <c r="D75" i="4"/>
  <c r="D21" i="4"/>
  <c r="D58" i="4"/>
  <c r="D39" i="4"/>
  <c r="D44" i="4"/>
  <c r="D89" i="4"/>
  <c r="D121" i="4"/>
  <c r="D117" i="4"/>
  <c r="D18" i="4"/>
  <c r="D31" i="4"/>
  <c r="D133" i="4"/>
  <c r="D71" i="4"/>
  <c r="D65" i="4"/>
  <c r="D90" i="4"/>
  <c r="D45" i="4"/>
  <c r="D20" i="4"/>
  <c r="D119" i="4"/>
  <c r="D87" i="4"/>
  <c r="D32" i="4"/>
  <c r="D55" i="4"/>
  <c r="D122" i="4"/>
  <c r="D22" i="4"/>
  <c r="D41" i="4"/>
  <c r="D57" i="4"/>
  <c r="D54" i="4"/>
  <c r="D73" i="4"/>
  <c r="D83" i="4"/>
  <c r="D93" i="4"/>
  <c r="D128" i="4"/>
  <c r="D19" i="4"/>
  <c r="D62" i="4"/>
  <c r="D25" i="4"/>
  <c r="D127" i="4"/>
  <c r="D108" i="4"/>
  <c r="D66" i="4"/>
  <c r="D61" i="4"/>
  <c r="D69" i="4"/>
  <c r="D102" i="4"/>
  <c r="D113" i="4"/>
  <c r="D109" i="4"/>
  <c r="D63" i="4"/>
  <c r="E32" i="9"/>
  <c r="G32" i="9"/>
  <c r="E29" i="4"/>
  <c r="D29" i="4"/>
  <c r="E101" i="4"/>
  <c r="D101" i="4"/>
  <c r="K254" i="1"/>
  <c r="M229" i="1"/>
  <c r="N229" i="1" s="1"/>
  <c r="M117" i="1"/>
  <c r="N117" i="1" s="1"/>
  <c r="M186" i="1"/>
  <c r="L190" i="1"/>
  <c r="L253" i="1" s="1"/>
  <c r="M249" i="1"/>
  <c r="N249" i="1" s="1"/>
  <c r="M121" i="1" l="1"/>
  <c r="N121" i="1" s="1"/>
  <c r="M206" i="1"/>
  <c r="N206" i="1" s="1"/>
  <c r="M253" i="1"/>
  <c r="N253" i="1" s="1"/>
  <c r="M190" i="1"/>
  <c r="N190" i="1" s="1"/>
  <c r="N1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 Winfield</author>
    <author>dba</author>
    <author>Christy Tuck</author>
    <author>Hannah Goodman</author>
    <author>Kevin L. Salminen</author>
  </authors>
  <commentList>
    <comment ref="G1" authorId="0" shapeId="0" xr:uid="{5CE9E58C-D516-4E0E-8352-363673D3CFFE}">
      <text>
        <r>
          <rPr>
            <b/>
            <sz val="9"/>
            <color indexed="81"/>
            <rFont val="Tahoma"/>
            <family val="2"/>
          </rPr>
          <t>FASB Lease Requirements:</t>
        </r>
        <r>
          <rPr>
            <sz val="9"/>
            <color indexed="81"/>
            <rFont val="Tahoma"/>
            <family val="2"/>
          </rPr>
          <t xml:space="preserve">
If a foundation is the lessee, record Operating Lease Liabilities and Finance Lease Liabilities on the Component Unit Template's Long-Term Liabilities-Other - Due within One Year for the current portion and the Long-Term Liabilities-Other - Due Greater than One Year for the noncurrent portion.  Report the Operating Lease Right-of-Use Assets and Finance Lease Right-of-Use Assets on the applicable Component Unit Template's Capital Asset and/or Other Assets line items. </t>
        </r>
      </text>
    </comment>
    <comment ref="G6" authorId="1" shapeId="0" xr:uid="{00000000-0006-0000-0000-000002000000}">
      <text>
        <r>
          <rPr>
            <sz val="9"/>
            <color indexed="81"/>
            <rFont val="Tahoma"/>
            <family val="2"/>
          </rPr>
          <t xml:space="preserve">If this submission is a </t>
        </r>
        <r>
          <rPr>
            <b/>
            <sz val="9"/>
            <color indexed="81"/>
            <rFont val="Tahoma"/>
            <family val="2"/>
          </rPr>
          <t>revision</t>
        </r>
        <r>
          <rPr>
            <sz val="9"/>
            <color indexed="81"/>
            <rFont val="Tahoma"/>
            <family val="2"/>
          </rPr>
          <t xml:space="preserve"> to a previous submission for which DOA acknowledged receipt and acceptance, COMPLETE THE </t>
        </r>
        <r>
          <rPr>
            <b/>
            <sz val="9"/>
            <color indexed="81"/>
            <rFont val="Tahoma"/>
            <family val="2"/>
          </rPr>
          <t>REVISION CONTROL LOG TAB</t>
        </r>
        <r>
          <rPr>
            <sz val="9"/>
            <color indexed="81"/>
            <rFont val="Tahoma"/>
            <family val="2"/>
          </rPr>
          <t>.</t>
        </r>
        <r>
          <rPr>
            <sz val="8"/>
            <color indexed="81"/>
            <rFont val="Tahoma"/>
            <family val="2"/>
          </rPr>
          <t xml:space="preserve">
</t>
        </r>
      </text>
    </comment>
    <comment ref="O34" authorId="2" shapeId="0" xr:uid="{00000000-0006-0000-0000-000003000000}">
      <text>
        <r>
          <rPr>
            <sz val="8"/>
            <color indexed="81"/>
            <rFont val="Tahoma"/>
            <family val="2"/>
          </rPr>
          <t xml:space="preserve">Increases or decreases greater than $9,900,000 and 10%
 </t>
        </r>
        <r>
          <rPr>
            <b/>
            <u/>
            <sz val="8"/>
            <color indexed="81"/>
            <rFont val="Tahoma"/>
            <family val="2"/>
          </rPr>
          <t xml:space="preserve">OR </t>
        </r>
        <r>
          <rPr>
            <sz val="8"/>
            <color indexed="81"/>
            <rFont val="Tahoma"/>
            <family val="2"/>
          </rPr>
          <t xml:space="preserve">
Increases or decreases greater than $19,800,000 (regardless of percentage change)</t>
        </r>
      </text>
    </comment>
    <comment ref="K54" authorId="3" shapeId="0" xr:uid="{00000000-0006-0000-0000-000004000000}">
      <text>
        <r>
          <rPr>
            <b/>
            <sz val="9"/>
            <color indexed="81"/>
            <rFont val="Tahoma"/>
            <family val="2"/>
          </rPr>
          <t>Include LGIP EM</t>
        </r>
        <r>
          <rPr>
            <sz val="9"/>
            <color indexed="81"/>
            <rFont val="Tahoma"/>
            <family val="2"/>
          </rPr>
          <t xml:space="preserve">
</t>
        </r>
      </text>
    </comment>
    <comment ref="K67" authorId="4" shapeId="0" xr:uid="{00000000-0006-0000-0000-000005000000}">
      <text>
        <r>
          <rPr>
            <b/>
            <sz val="8"/>
            <color indexed="81"/>
            <rFont val="Tahoma"/>
            <family val="2"/>
          </rPr>
          <t xml:space="preserve">Due from Primary Government </t>
        </r>
        <r>
          <rPr>
            <b/>
            <u/>
            <sz val="8"/>
            <color indexed="81"/>
            <rFont val="Tahoma"/>
            <family val="2"/>
          </rPr>
          <t>AND</t>
        </r>
        <r>
          <rPr>
            <b/>
            <sz val="8"/>
            <color indexed="81"/>
            <rFont val="Tahoma"/>
            <family val="2"/>
          </rPr>
          <t xml:space="preserve">
Due from Component Units
</t>
        </r>
        <r>
          <rPr>
            <sz val="8"/>
            <color indexed="81"/>
            <rFont val="Tahoma"/>
            <family val="2"/>
          </rPr>
          <t>Identify offsetting entity for the "Due From" in the yellow box to the side of the template line item.  DOA may contact the component unit if more information is needed.</t>
        </r>
      </text>
    </comment>
    <comment ref="K100" authorId="3" shapeId="0" xr:uid="{00000000-0006-0000-0000-000006000000}">
      <text>
        <r>
          <rPr>
            <b/>
            <sz val="9"/>
            <color indexed="81"/>
            <rFont val="Tahoma"/>
            <family val="2"/>
          </rPr>
          <t>Include LGIP EM, if restricted</t>
        </r>
      </text>
    </comment>
    <comment ref="K139" authorId="4" shapeId="0" xr:uid="{00000000-0006-0000-0000-000007000000}">
      <text>
        <r>
          <rPr>
            <b/>
            <sz val="8"/>
            <color indexed="81"/>
            <rFont val="Tahoma"/>
            <family val="2"/>
          </rPr>
          <t xml:space="preserve">Due to Component Units and Due to Primary Government
</t>
        </r>
        <r>
          <rPr>
            <sz val="8"/>
            <color indexed="81"/>
            <rFont val="Tahoma"/>
            <family val="2"/>
          </rPr>
          <t>Identify the offsetting entity for the "Due To" in the yellow box to the side of the template line item.  DOA may contact the component unit if more information is needed.</t>
        </r>
      </text>
    </comment>
    <comment ref="A183" authorId="0" shapeId="0" xr:uid="{E5C5F8E2-7D2D-49E3-B976-46B2E6B21F20}">
      <text>
        <r>
          <rPr>
            <b/>
            <sz val="8"/>
            <color indexed="81"/>
            <rFont val="Tahoma"/>
            <family val="2"/>
          </rPr>
          <t>Net Pension Liability / OPEB / Net OPEB Liabilities</t>
        </r>
        <r>
          <rPr>
            <sz val="8"/>
            <color indexed="81"/>
            <rFont val="Tahoma"/>
            <family val="2"/>
          </rPr>
          <t xml:space="preserve">
If a foundation has a pension or OPEB liability, report those amounts on the applicable Long-term Liabilities - Other line item(s) on this tab and provide a description on Tab 4, Part 5.</t>
        </r>
      </text>
    </comment>
    <comment ref="K206" authorId="4" shapeId="0" xr:uid="{00000000-0006-0000-0000-000009000000}">
      <text>
        <r>
          <rPr>
            <b/>
            <sz val="8"/>
            <color indexed="81"/>
            <rFont val="Tahoma"/>
            <family val="2"/>
          </rPr>
          <t>Total Net Position</t>
        </r>
        <r>
          <rPr>
            <sz val="8"/>
            <color indexed="81"/>
            <rFont val="Tahoma"/>
            <family val="2"/>
          </rPr>
          <t xml:space="preserve">
Assets minus Liabilities must equal Total Net Position.  If amounts do not agree, an "error" message will appear.   Correct as necessary.</t>
        </r>
      </text>
    </comment>
    <comment ref="K241" authorId="4" shapeId="0" xr:uid="{00000000-0006-0000-0000-00000A000000}">
      <text>
        <r>
          <rPr>
            <b/>
            <sz val="8"/>
            <color indexed="81"/>
            <rFont val="Tahoma"/>
            <family val="2"/>
          </rPr>
          <t xml:space="preserve">Special Items
</t>
        </r>
        <r>
          <rPr>
            <sz val="8"/>
            <color indexed="81"/>
            <rFont val="Tahoma"/>
            <family val="2"/>
          </rPr>
          <t xml:space="preserve">Significant transactions or events within management's control that are </t>
        </r>
        <r>
          <rPr>
            <b/>
            <i/>
            <sz val="8"/>
            <color indexed="81"/>
            <rFont val="Tahoma"/>
            <family val="2"/>
          </rPr>
          <t>either</t>
        </r>
        <r>
          <rPr>
            <sz val="8"/>
            <color indexed="81"/>
            <rFont val="Tahoma"/>
            <family val="2"/>
          </rPr>
          <t xml:space="preserve"> unusual in nature </t>
        </r>
        <r>
          <rPr>
            <b/>
            <i/>
            <sz val="8"/>
            <color indexed="81"/>
            <rFont val="Tahoma"/>
            <family val="2"/>
          </rPr>
          <t>or</t>
        </r>
        <r>
          <rPr>
            <sz val="8"/>
            <color indexed="81"/>
            <rFont val="Tahoma"/>
            <family val="2"/>
          </rPr>
          <t xml:space="preserve"> infrequent in occurrence should be classified as special items.</t>
        </r>
        <r>
          <rPr>
            <sz val="7"/>
            <color indexed="81"/>
            <rFont val="Tahoma"/>
            <family val="2"/>
          </rPr>
          <t xml:space="preserve">
</t>
        </r>
      </text>
    </comment>
    <comment ref="K242" authorId="4" shapeId="0" xr:uid="{00000000-0006-0000-0000-00000B000000}">
      <text>
        <r>
          <rPr>
            <b/>
            <sz val="8"/>
            <color indexed="81"/>
            <rFont val="Tahoma"/>
            <family val="2"/>
          </rPr>
          <t>Extraordinary Items</t>
        </r>
        <r>
          <rPr>
            <sz val="8"/>
            <color indexed="81"/>
            <rFont val="Tahoma"/>
            <family val="2"/>
          </rPr>
          <t xml:space="preserve">
Transactions or events not within management's control that are </t>
        </r>
        <r>
          <rPr>
            <b/>
            <i/>
            <sz val="8"/>
            <color indexed="81"/>
            <rFont val="Tahoma"/>
            <family val="2"/>
          </rPr>
          <t>both</t>
        </r>
        <r>
          <rPr>
            <sz val="8"/>
            <color indexed="81"/>
            <rFont val="Tahoma"/>
            <family val="2"/>
          </rPr>
          <t xml:space="preserve"> unusual in nature and infrequent in occurrence should be classified as extraordinary items.</t>
        </r>
        <r>
          <rPr>
            <sz val="7"/>
            <color indexed="81"/>
            <rFont val="Tahoma"/>
            <family val="2"/>
          </rPr>
          <t xml:space="preserve">
</t>
        </r>
      </text>
    </comment>
    <comment ref="K251" authorId="4" shapeId="0" xr:uid="{00000000-0006-0000-0000-00000C000000}">
      <text>
        <r>
          <rPr>
            <b/>
            <sz val="8"/>
            <color indexed="81"/>
            <rFont val="Tahoma"/>
            <family val="2"/>
          </rPr>
          <t xml:space="preserve">Net Position-Beginning:
</t>
        </r>
        <r>
          <rPr>
            <sz val="8"/>
            <color indexed="81"/>
            <rFont val="Tahoma"/>
            <family val="2"/>
          </rPr>
          <t>This cell is linked to Tab 6 - Restatements.  If a beginning net position restatement exists, complete Tab  6.</t>
        </r>
      </text>
    </comment>
    <comment ref="K253" authorId="4" shapeId="0" xr:uid="{00000000-0006-0000-0000-00000D000000}">
      <text>
        <r>
          <rPr>
            <b/>
            <sz val="8"/>
            <color indexed="81"/>
            <rFont val="Tahoma"/>
            <family val="2"/>
          </rPr>
          <t xml:space="preserve">Ending Net Position 
</t>
        </r>
        <r>
          <rPr>
            <sz val="8"/>
            <color indexed="81"/>
            <rFont val="Tahoma"/>
            <family val="2"/>
          </rPr>
          <t xml:space="preserve">Ending Net Position must equal Total Net Position on the Statement of Net Position.  If not, an "error" message will appear.  Review amounts entered and correct as necessary.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B6" authorId="0" shapeId="0" xr:uid="{00000000-0006-0000-09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 </t>
        </r>
        <r>
          <rPr>
            <b/>
            <sz val="8"/>
            <color indexed="81"/>
            <rFont val="Tahoma"/>
            <family val="2"/>
          </rPr>
          <t>REVISION CONTROL LOG TAB.</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dba</author>
    <author>K Winfield</author>
  </authors>
  <commentList>
    <comment ref="D6" authorId="0" shapeId="0" xr:uid="{00000000-0006-0000-0A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 </t>
        </r>
        <r>
          <rPr>
            <b/>
            <sz val="8"/>
            <color indexed="81"/>
            <rFont val="Tahoma"/>
            <family val="2"/>
          </rPr>
          <t>REVISION CONTROL LOG TAB.</t>
        </r>
        <r>
          <rPr>
            <sz val="8"/>
            <color indexed="81"/>
            <rFont val="Tahoma"/>
            <family val="2"/>
          </rPr>
          <t xml:space="preserve">
</t>
        </r>
      </text>
    </comment>
    <comment ref="D31" authorId="1" shapeId="0" xr:uid="{309CBEA5-8F7E-4660-9013-5A8147A64090}">
      <text>
        <r>
          <rPr>
            <b/>
            <sz val="8"/>
            <color indexed="81"/>
            <rFont val="Tahoma"/>
            <family val="2"/>
          </rPr>
          <t>Beginning Net Position Balance:</t>
        </r>
        <r>
          <rPr>
            <sz val="8"/>
            <color indexed="81"/>
            <rFont val="Tahoma"/>
            <family val="2"/>
          </rPr>
          <t xml:space="preserve">
Beginning Net Position on the Statement of Activities is linked to this cell.</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Susan Livesay</author>
    <author>Kevin L. Salminen</author>
    <author>Christy Tuck</author>
  </authors>
  <commentList>
    <comment ref="B6" authorId="0" shapeId="0" xr:uid="{00000000-0006-0000-0B00-000001000000}">
      <text>
        <r>
          <rPr>
            <sz val="10"/>
            <color indexed="81"/>
            <rFont val="Times New Roman"/>
            <family val="1"/>
          </rPr>
          <t xml:space="preserve">If this submission is a </t>
        </r>
        <r>
          <rPr>
            <b/>
            <sz val="10"/>
            <color indexed="81"/>
            <rFont val="Times New Roman"/>
            <family val="1"/>
          </rPr>
          <t>revision</t>
        </r>
        <r>
          <rPr>
            <sz val="10"/>
            <color indexed="81"/>
            <rFont val="Times New Roman"/>
            <family val="1"/>
          </rPr>
          <t xml:space="preserve"> to a previous submission for which DOA acknowledged receipt and acceptance, COMPLETE THE </t>
        </r>
        <r>
          <rPr>
            <b/>
            <sz val="10"/>
            <color indexed="81"/>
            <rFont val="Times New Roman"/>
            <family val="1"/>
          </rPr>
          <t>REVISION CONTROL TAB.</t>
        </r>
        <r>
          <rPr>
            <sz val="8"/>
            <color indexed="81"/>
            <rFont val="Tahoma"/>
            <family val="2"/>
          </rPr>
          <t xml:space="preserve">
</t>
        </r>
      </text>
    </comment>
    <comment ref="B15" authorId="1" shapeId="0" xr:uid="{00000000-0006-0000-0B00-000002000000}">
      <text>
        <r>
          <rPr>
            <b/>
            <sz val="8"/>
            <color indexed="81"/>
            <rFont val="Tahoma"/>
            <family val="2"/>
          </rPr>
          <t xml:space="preserve">Total Capital Assets:  
</t>
        </r>
        <r>
          <rPr>
            <sz val="8"/>
            <color indexed="81"/>
            <rFont val="Tahoma"/>
            <family val="2"/>
          </rPr>
          <t>This is linked to the sum of nondepreciable and other capital assets on the template.</t>
        </r>
      </text>
    </comment>
    <comment ref="D29" authorId="2" shapeId="0" xr:uid="{00000000-0006-0000-0B00-000003000000}">
      <text>
        <r>
          <rPr>
            <sz val="8.5"/>
            <color indexed="81"/>
            <rFont val="Tahoma"/>
            <family val="2"/>
          </rPr>
          <t xml:space="preserve">Note A - If an amount is provided for unspent proceeds on debt related to capital assets, do the unspent proceeds on debt exclude investment earnings? (Yes, No, or N/A)
</t>
        </r>
      </text>
    </comment>
    <comment ref="B43" authorId="1" shapeId="0" xr:uid="{00000000-0006-0000-0B00-000004000000}">
      <text>
        <r>
          <rPr>
            <b/>
            <sz val="8"/>
            <color indexed="81"/>
            <rFont val="Tahoma"/>
            <family val="2"/>
          </rPr>
          <t xml:space="preserve">Net Investment in Capital Assets </t>
        </r>
        <r>
          <rPr>
            <sz val="8"/>
            <color indexed="81"/>
            <rFont val="Tahoma"/>
            <family val="2"/>
          </rPr>
          <t>must agree to the amount reported on the "Net Investment in Capital Assets" line item on the template.  If not, an "ERROR" message will appear.  Make corrections as deemed necessary.</t>
        </r>
        <r>
          <rPr>
            <sz val="9"/>
            <color indexed="81"/>
            <rFont val="Times New Roman"/>
            <family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Esther Kim, DOA</author>
  </authors>
  <commentList>
    <comment ref="S32" authorId="0" shapeId="0" xr:uid="{00000000-0006-0000-0100-000001000000}">
      <text>
        <r>
          <rPr>
            <b/>
            <sz val="9"/>
            <color indexed="81"/>
            <rFont val="Tahoma"/>
            <family val="2"/>
          </rPr>
          <t>Esther Kim, DOA:</t>
        </r>
        <r>
          <rPr>
            <sz val="9"/>
            <color indexed="81"/>
            <rFont val="Tahoma"/>
            <family val="2"/>
          </rPr>
          <t xml:space="preserve">
dissolved in FY 2015</t>
        </r>
      </text>
    </comment>
    <comment ref="W32" authorId="0" shapeId="0" xr:uid="{00000000-0006-0000-0100-000002000000}">
      <text>
        <r>
          <rPr>
            <b/>
            <sz val="9"/>
            <color indexed="81"/>
            <rFont val="Tahoma"/>
            <family val="2"/>
          </rPr>
          <t>Esther Kim, DOA:</t>
        </r>
        <r>
          <rPr>
            <sz val="9"/>
            <color indexed="81"/>
            <rFont val="Tahoma"/>
            <family val="2"/>
          </rPr>
          <t xml:space="preserve">
not considered as a CU effective FY 2015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D6" authorId="0" shapeId="0" xr:uid="{00000000-0006-0000-0200-000001000000}">
      <text>
        <r>
          <rPr>
            <sz val="8"/>
            <color indexed="81"/>
            <rFont val="Tahoma"/>
            <family val="2"/>
          </rPr>
          <t>If this submission is a</t>
        </r>
        <r>
          <rPr>
            <b/>
            <sz val="8"/>
            <color indexed="81"/>
            <rFont val="Tahoma"/>
            <family val="2"/>
          </rPr>
          <t xml:space="preserve"> revision</t>
        </r>
        <r>
          <rPr>
            <sz val="8"/>
            <color indexed="81"/>
            <rFont val="Tahoma"/>
            <family val="2"/>
          </rPr>
          <t xml:space="preserve"> to a previous submission for which DOA acknowledged receipt and acceptance, COMPLETE THE </t>
        </r>
        <r>
          <rPr>
            <b/>
            <sz val="8"/>
            <color indexed="81"/>
            <rFont val="Tahoma"/>
            <family val="2"/>
          </rPr>
          <t>REVISION CONTROL LOG TAB</t>
        </r>
        <r>
          <rPr>
            <sz val="8"/>
            <color indexed="81"/>
            <rFont val="Tahoma"/>
            <family val="2"/>
          </rPr>
          <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dba</author>
    <author>Rusty</author>
    <author>Wai Levy</author>
    <author>Jun Qiao</author>
  </authors>
  <commentList>
    <comment ref="C6" authorId="0" shapeId="0" xr:uid="{00000000-0006-0000-0300-000001000000}">
      <text>
        <r>
          <rPr>
            <sz val="9"/>
            <color indexed="81"/>
            <rFont val="Tahoma"/>
            <family val="2"/>
          </rPr>
          <t xml:space="preserve">If this submission is a </t>
        </r>
        <r>
          <rPr>
            <b/>
            <sz val="9"/>
            <color indexed="81"/>
            <rFont val="Tahoma"/>
            <family val="2"/>
          </rPr>
          <t>revision</t>
        </r>
        <r>
          <rPr>
            <sz val="9"/>
            <color indexed="81"/>
            <rFont val="Tahoma"/>
            <family val="2"/>
          </rPr>
          <t xml:space="preserve"> to a previous submission for which DOA acknowledged receipt and acceptance, COMPLETE THE </t>
        </r>
        <r>
          <rPr>
            <b/>
            <sz val="9"/>
            <color indexed="81"/>
            <rFont val="Tahoma"/>
            <family val="2"/>
          </rPr>
          <t>REVISION CONTROL LOG TAB.</t>
        </r>
        <r>
          <rPr>
            <sz val="8"/>
            <color indexed="81"/>
            <rFont val="Tahoma"/>
            <family val="2"/>
          </rPr>
          <t xml:space="preserve">
</t>
        </r>
      </text>
    </comment>
    <comment ref="H31" authorId="1" shapeId="0" xr:uid="{00000000-0006-0000-0300-000002000000}">
      <text>
        <r>
          <rPr>
            <sz val="8"/>
            <color indexed="81"/>
            <rFont val="Tahoma"/>
            <family val="2"/>
          </rPr>
          <t>Linked to the Component Unit Template Unrestricted cash held with the Treasurer of Virginia.</t>
        </r>
      </text>
    </comment>
    <comment ref="H32" authorId="1" shapeId="0" xr:uid="{00000000-0006-0000-0300-000003000000}">
      <text>
        <r>
          <rPr>
            <sz val="8"/>
            <color indexed="81"/>
            <rFont val="Tahoma"/>
            <family val="2"/>
          </rPr>
          <t>Linked to the Component Unit Template Restricted Cash held with the Treasurer of Virginia.</t>
        </r>
      </text>
    </comment>
    <comment ref="H38" authorId="2" shapeId="0" xr:uid="{00000000-0006-0000-0300-000004000000}">
      <text>
        <r>
          <rPr>
            <sz val="8"/>
            <color indexed="81"/>
            <rFont val="Tahoma"/>
            <family val="2"/>
          </rPr>
          <t xml:space="preserve">Linked to the Component Unit Template Unrestricted Cash NOT held with the Treasurer of Virginia. </t>
        </r>
      </text>
    </comment>
    <comment ref="H67" authorId="1" shapeId="0" xr:uid="{00000000-0006-0000-0300-000005000000}">
      <text>
        <r>
          <rPr>
            <sz val="8"/>
            <color indexed="81"/>
            <rFont val="Tahoma"/>
            <family val="2"/>
          </rPr>
          <t>Linked to the Component Unit Template Restricted Cash NOT held with the Treasurer of Virginia.</t>
        </r>
      </text>
    </comment>
    <comment ref="H123" authorId="1" shapeId="0" xr:uid="{00000000-0006-0000-0300-000006000000}">
      <text>
        <r>
          <rPr>
            <sz val="8"/>
            <color indexed="81"/>
            <rFont val="Tahoma"/>
            <family val="2"/>
          </rPr>
          <t xml:space="preserve">If total does not agree with the amount reported on the Component Unit Template an "ERROR" message will appear. Make corrections as necessary.
</t>
        </r>
      </text>
    </comment>
    <comment ref="H131" authorId="1" shapeId="0" xr:uid="{00000000-0006-0000-0300-000007000000}">
      <text>
        <r>
          <rPr>
            <sz val="8"/>
            <color indexed="81"/>
            <rFont val="Tahoma"/>
            <family val="2"/>
          </rPr>
          <t xml:space="preserve">If total does not agree with the amount reported on the Component Unit Template an "ERROR" message will appear. Make corrections as necessary.
</t>
        </r>
      </text>
    </comment>
    <comment ref="H139" authorId="1" shapeId="0" xr:uid="{00000000-0006-0000-0300-000008000000}">
      <text>
        <r>
          <rPr>
            <sz val="8"/>
            <color indexed="81"/>
            <rFont val="Tahoma"/>
            <family val="2"/>
          </rPr>
          <t xml:space="preserve">If total does not agree with the amount reported on the Component Unit Template an "ERROR" message will appear. Make corrections as necessary.
</t>
        </r>
      </text>
    </comment>
    <comment ref="H147" authorId="1" shapeId="0" xr:uid="{00000000-0006-0000-0300-000009000000}">
      <text>
        <r>
          <rPr>
            <sz val="8"/>
            <color indexed="81"/>
            <rFont val="Tahoma"/>
            <family val="2"/>
          </rPr>
          <t xml:space="preserve">If total does not agree with the amount reported on the Component Unit Template an "ERROR" message will appear. Make corrections as necessary.
</t>
        </r>
      </text>
    </comment>
    <comment ref="E173" authorId="1" shapeId="0" xr:uid="{00000000-0006-0000-0300-00000A000000}">
      <text>
        <r>
          <rPr>
            <sz val="8"/>
            <color indexed="81"/>
            <rFont val="Tahoma"/>
            <family val="2"/>
          </rPr>
          <t>This total should agree to the Unrestricted LGIP cash equivalents as reported on the Component Unit Template. If it does not agree an "ERROR" message will appear. Make necessary corrections.</t>
        </r>
      </text>
    </comment>
    <comment ref="F173" authorId="3" shapeId="0" xr:uid="{00000000-0006-0000-0300-00000B000000}">
      <text>
        <r>
          <rPr>
            <sz val="8"/>
            <color indexed="81"/>
            <rFont val="Tahoma"/>
            <family val="2"/>
          </rPr>
          <t>Total LGIP EM should be reported on the unrestricted "Investments with the Treasurer of Virginia" line on the Component Unit Template. If total does not agree with the amount reported in Part 8c above for the LGIP EM amount, an "ERROR" message will appear. Make necessary corrections.</t>
        </r>
      </text>
    </comment>
    <comment ref="E198" authorId="1" shapeId="0" xr:uid="{00000000-0006-0000-0300-00000C000000}">
      <text>
        <r>
          <rPr>
            <sz val="8"/>
            <color indexed="81"/>
            <rFont val="Tahoma"/>
            <family val="2"/>
          </rPr>
          <t>This total should agree to the Restricted LGIP cash equivalents as reported on the Component Unit Template. If it does not agree an "ERROR" message will appear. Make necessary corrections.</t>
        </r>
      </text>
    </comment>
    <comment ref="F198" authorId="3" shapeId="0" xr:uid="{00000000-0006-0000-0300-00000D000000}">
      <text>
        <r>
          <rPr>
            <sz val="8"/>
            <color indexed="81"/>
            <rFont val="Tahoma"/>
            <family val="2"/>
          </rPr>
          <t>Restricted LGIP EM should be reported on the "Restricted Investments with the Treasurer of Virginia" line on the Component Unit Template. If total does not agree with the Restricted LGIP EM amount reported in Part 8d above, an "ERROR" message will appear. Make necessary corrections.</t>
        </r>
      </text>
    </comment>
    <comment ref="F222" authorId="1" shapeId="0" xr:uid="{00000000-0006-0000-0300-00000E000000}">
      <text>
        <r>
          <rPr>
            <sz val="8"/>
            <color indexed="81"/>
            <rFont val="Tahoma"/>
            <family val="2"/>
          </rPr>
          <t>This total Unrestricted SNAP Pool Funds should agree to the amount reported as Unrestricted SNAP Pool Funds on the Component Unit Template. If it does not agree an "ERROR" message will appear. Make necessary corrections.</t>
        </r>
      </text>
    </comment>
    <comment ref="F246" authorId="1" shapeId="0" xr:uid="{00000000-0006-0000-0300-00000F000000}">
      <text>
        <r>
          <rPr>
            <sz val="8"/>
            <color indexed="81"/>
            <rFont val="Tahoma"/>
            <family val="2"/>
          </rPr>
          <t>This total Restricted SNAP Pool Funds should agree to the amount reported as Restricted SNAP Pool Funds on the Component Unit Template. If it does not agree an "ERROR" message will appear. Make necessary corrections.</t>
        </r>
      </text>
    </comment>
    <comment ref="F270" authorId="1" shapeId="0" xr:uid="{00000000-0006-0000-0300-000010000000}">
      <text>
        <r>
          <rPr>
            <sz val="8"/>
            <color indexed="81"/>
            <rFont val="Tahoma"/>
            <family val="2"/>
          </rPr>
          <t>This total should agree to the sum of Unrestricted SNAP Individual Portfolio cash equivalents and Unrestricted SNAP Individual Portfolio investments as reported on the Component Unit Template. If it does not agree an "ERROR" message will appear. Make necessary corrections.</t>
        </r>
      </text>
    </comment>
    <comment ref="F294" authorId="1" shapeId="0" xr:uid="{00000000-0006-0000-0300-000011000000}">
      <text>
        <r>
          <rPr>
            <sz val="8"/>
            <color indexed="81"/>
            <rFont val="Tahoma"/>
            <family val="2"/>
          </rPr>
          <t>This total should agree to the sum of Restricted SNAP Individual Portfolio Cash Equivalents and Restricted SNAP Individual Portfolio Investments as reported on the Component Unit Template. If it does not agree an "ERROR" message will appear. Make necessary corrections.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C6" authorId="0" shapeId="0" xr:uid="{00000000-0006-0000-0400-000001000000}">
      <text>
        <r>
          <rPr>
            <sz val="9"/>
            <color indexed="81"/>
            <rFont val="Tahoma"/>
            <family val="2"/>
          </rPr>
          <t xml:space="preserve">If this submission is a </t>
        </r>
        <r>
          <rPr>
            <b/>
            <sz val="9"/>
            <color indexed="81"/>
            <rFont val="Tahoma"/>
            <family val="2"/>
          </rPr>
          <t>revision</t>
        </r>
        <r>
          <rPr>
            <sz val="9"/>
            <color indexed="81"/>
            <rFont val="Tahoma"/>
            <family val="2"/>
          </rPr>
          <t xml:space="preserve"> to a previous submission for which DOA acknowledged receipt and acceptance, COMPLETE THE </t>
        </r>
        <r>
          <rPr>
            <b/>
            <sz val="9"/>
            <color indexed="81"/>
            <rFont val="Tahoma"/>
            <family val="2"/>
          </rPr>
          <t>REVISION CONTROL LOG TAB.</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dba</author>
    <author>Kevin L. Salminen</author>
    <author>AEW</author>
  </authors>
  <commentList>
    <comment ref="B6" authorId="0" shapeId="0" xr:uid="{00000000-0006-0000-05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 </t>
        </r>
        <r>
          <rPr>
            <b/>
            <sz val="8"/>
            <color indexed="81"/>
            <rFont val="Tahoma"/>
            <family val="2"/>
          </rPr>
          <t>REVISION CONTROL LOG TAB</t>
        </r>
        <r>
          <rPr>
            <sz val="8"/>
            <color indexed="81"/>
            <rFont val="Tahoma"/>
            <family val="2"/>
          </rPr>
          <t xml:space="preserve">.
</t>
        </r>
      </text>
    </comment>
    <comment ref="D44" authorId="1" shapeId="0" xr:uid="{00000000-0006-0000-0500-000002000000}">
      <text>
        <r>
          <rPr>
            <b/>
            <sz val="8"/>
            <color indexed="81"/>
            <rFont val="Tahoma"/>
            <family val="2"/>
          </rPr>
          <t xml:space="preserve">Total Net Receivables
</t>
        </r>
        <r>
          <rPr>
            <sz val="8"/>
            <color indexed="81"/>
            <rFont val="Tahoma"/>
            <family val="2"/>
          </rPr>
          <t>Total Net Receivables must agree to the total Net Receivables on the Template.  If not, an "error" message will appear. Correct as necessary.</t>
        </r>
        <r>
          <rPr>
            <sz val="7"/>
            <color indexed="81"/>
            <rFont val="Tahoma"/>
            <family val="2"/>
          </rPr>
          <t xml:space="preserve">
</t>
        </r>
      </text>
    </comment>
    <comment ref="E59" authorId="1" shapeId="0" xr:uid="{00000000-0006-0000-0500-000003000000}">
      <text>
        <r>
          <rPr>
            <b/>
            <sz val="8"/>
            <color indexed="81"/>
            <rFont val="Tahoma"/>
            <family val="2"/>
          </rPr>
          <t xml:space="preserve">Total Contributions Receivable
</t>
        </r>
        <r>
          <rPr>
            <sz val="8"/>
            <color indexed="81"/>
            <rFont val="Tahoma"/>
            <family val="2"/>
          </rPr>
          <t>Total Contributions Receivable must agree to the Contributions Receivable, Net amount on the Template.  If not, an "error" message will appear. Correct as necessary.</t>
        </r>
      </text>
    </comment>
    <comment ref="D77" authorId="1" shapeId="0" xr:uid="{444AC2CA-E9B2-446A-81F9-34171990174F}">
      <text>
        <r>
          <rPr>
            <b/>
            <sz val="8"/>
            <color indexed="81"/>
            <rFont val="Tahoma"/>
            <family val="2"/>
          </rPr>
          <t xml:space="preserve">Total Restricted Receivables, Net
</t>
        </r>
        <r>
          <rPr>
            <sz val="8"/>
            <color indexed="81"/>
            <rFont val="Tahoma"/>
            <family val="2"/>
          </rPr>
          <t>Total Restricted Receivables, Net must agree to the total Restricted Receivables, Net on the Template.  If not, an "error" message will appear. Correct as necessary.</t>
        </r>
        <r>
          <rPr>
            <sz val="7"/>
            <color indexed="81"/>
            <rFont val="Tahoma"/>
            <family val="2"/>
          </rPr>
          <t xml:space="preserve">
</t>
        </r>
      </text>
    </comment>
    <comment ref="G97" authorId="2" shapeId="0" xr:uid="{00000000-0006-0000-0500-000004000000}">
      <text>
        <r>
          <rPr>
            <b/>
            <sz val="8"/>
            <color indexed="81"/>
            <rFont val="Tahoma"/>
            <family val="2"/>
          </rPr>
          <t>Total Due From Primary Government</t>
        </r>
        <r>
          <rPr>
            <sz val="8"/>
            <color indexed="81"/>
            <rFont val="Tahoma"/>
            <family val="2"/>
          </rPr>
          <t xml:space="preserve">
Total Due From Primary Government must agree to the Due From Primary Government reported on the Template.  If not, an "error" message will appear.  Correct as necessary.
</t>
        </r>
      </text>
    </comment>
    <comment ref="G110" authorId="2" shapeId="0" xr:uid="{00000000-0006-0000-0500-000005000000}">
      <text>
        <r>
          <rPr>
            <b/>
            <sz val="8"/>
            <color indexed="81"/>
            <rFont val="Tahoma"/>
            <family val="2"/>
          </rPr>
          <t xml:space="preserve">Total Due To Primary Government
</t>
        </r>
        <r>
          <rPr>
            <sz val="8"/>
            <color indexed="81"/>
            <rFont val="Tahoma"/>
            <family val="2"/>
          </rPr>
          <t>Total Due To Primary Government must agree to the Due To Primary Government reported on the Template.  If not, an "error" message will appear.  Correct as necessary.</t>
        </r>
      </text>
    </comment>
    <comment ref="G123" authorId="2" shapeId="0" xr:uid="{00000000-0006-0000-0500-000006000000}">
      <text>
        <r>
          <rPr>
            <b/>
            <sz val="8"/>
            <color indexed="81"/>
            <rFont val="Tahoma"/>
            <family val="2"/>
          </rPr>
          <t xml:space="preserve">Total Due From Component Units
</t>
        </r>
        <r>
          <rPr>
            <sz val="8"/>
            <color indexed="81"/>
            <rFont val="Tahoma"/>
            <family val="2"/>
          </rPr>
          <t xml:space="preserve">Total Due From Component Units must agree to the Due From Component Units reported on the Template.  If not, an "error" message will appear.  Correct as necessary.
</t>
        </r>
      </text>
    </comment>
    <comment ref="G136" authorId="2" shapeId="0" xr:uid="{00000000-0006-0000-0500-000007000000}">
      <text>
        <r>
          <rPr>
            <b/>
            <sz val="8"/>
            <color indexed="81"/>
            <rFont val="Tahoma"/>
            <family val="2"/>
          </rPr>
          <t xml:space="preserve">Total Due To Component Units
</t>
        </r>
        <r>
          <rPr>
            <sz val="8"/>
            <color indexed="81"/>
            <rFont val="Tahoma"/>
            <family val="2"/>
          </rPr>
          <t>Total Due To Component Units must agree to the Due To Component Units reported on the Template.  If not, an "error" message will appear.  Correct as necessary.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dba</author>
    <author>VITA Program</author>
    <author>Mary Christine Tuck</author>
  </authors>
  <commentList>
    <comment ref="B6" authorId="0" shapeId="0" xr:uid="{00000000-0006-0000-06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 </t>
        </r>
        <r>
          <rPr>
            <b/>
            <sz val="8"/>
            <color indexed="81"/>
            <rFont val="Tahoma"/>
            <family val="2"/>
          </rPr>
          <t>REVISION CONTROL LOG TAB.</t>
        </r>
        <r>
          <rPr>
            <sz val="8"/>
            <color indexed="81"/>
            <rFont val="Tahoma"/>
            <family val="2"/>
          </rPr>
          <t xml:space="preserve">
</t>
        </r>
      </text>
    </comment>
    <comment ref="D21" authorId="1" shapeId="0" xr:uid="{00000000-0006-0000-0600-000002000000}">
      <text>
        <r>
          <rPr>
            <b/>
            <sz val="8"/>
            <color indexed="81"/>
            <rFont val="Tahoma"/>
            <family val="2"/>
          </rPr>
          <t>Total Nondepreciable Capital Assets</t>
        </r>
        <r>
          <rPr>
            <sz val="8"/>
            <color indexed="81"/>
            <rFont val="Tahoma"/>
            <family val="2"/>
          </rPr>
          <t xml:space="preserve"> must agree to the Total Nondepreciable Capital Assets reported on the Component Unit Template tab.  If not, an "error" message will appear.  Make corrections as deemed necessary.</t>
        </r>
      </text>
    </comment>
    <comment ref="D41" authorId="2" shapeId="0" xr:uid="{00000000-0006-0000-0600-000003000000}">
      <text>
        <r>
          <rPr>
            <b/>
            <sz val="8"/>
            <color indexed="81"/>
            <rFont val="Tahoma"/>
            <family val="2"/>
          </rPr>
          <t xml:space="preserve">Total Other Capital Assets, Net </t>
        </r>
        <r>
          <rPr>
            <sz val="8"/>
            <color indexed="81"/>
            <rFont val="Tahoma"/>
            <family val="2"/>
          </rPr>
          <t>must agree to the Total Other Capital Assets, Net reported on the Component Unit Template tab.  If not, an "error" message will appear.  Make corrections as deemed necessary.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dba</author>
    <author>Mary Christine Tuck</author>
    <author>VITA Program</author>
    <author>Christy Tuck</author>
    <author>Kevin L. Salminen</author>
  </authors>
  <commentList>
    <comment ref="B6" authorId="0" shapeId="0" xr:uid="{00000000-0006-0000-07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 </t>
        </r>
        <r>
          <rPr>
            <b/>
            <sz val="8"/>
            <color indexed="81"/>
            <rFont val="Tahoma"/>
            <family val="2"/>
          </rPr>
          <t>REVISION CONTROL LOG TAB.</t>
        </r>
        <r>
          <rPr>
            <sz val="8"/>
            <color indexed="81"/>
            <rFont val="Tahoma"/>
            <family val="2"/>
          </rPr>
          <t xml:space="preserve">
</t>
        </r>
      </text>
    </comment>
    <comment ref="B19" authorId="1" shapeId="0" xr:uid="{00000000-0006-0000-0700-000002000000}">
      <text>
        <r>
          <rPr>
            <b/>
            <sz val="8"/>
            <color indexed="81"/>
            <rFont val="Tahoma"/>
            <family val="2"/>
          </rPr>
          <t xml:space="preserve">Balance June 30, 2024
</t>
        </r>
        <r>
          <rPr>
            <sz val="8"/>
            <color indexed="81"/>
            <rFont val="Tahoma"/>
            <family val="2"/>
          </rPr>
          <t>Amounts</t>
        </r>
        <r>
          <rPr>
            <b/>
            <sz val="8"/>
            <color indexed="81"/>
            <rFont val="Tahoma"/>
            <family val="2"/>
          </rPr>
          <t xml:space="preserve"> </t>
        </r>
        <r>
          <rPr>
            <sz val="8"/>
            <color indexed="81"/>
            <rFont val="Tahoma"/>
            <family val="2"/>
          </rPr>
          <t xml:space="preserve">must agree to the total liability "Due Within One Year" </t>
        </r>
        <r>
          <rPr>
            <b/>
            <sz val="8"/>
            <color indexed="81"/>
            <rFont val="Tahoma"/>
            <family val="2"/>
          </rPr>
          <t xml:space="preserve">plus </t>
        </r>
        <r>
          <rPr>
            <sz val="8"/>
            <color indexed="81"/>
            <rFont val="Tahoma"/>
            <family val="2"/>
          </rPr>
          <t>the total liability "Due Greater Than One Year" on the Component Unit Template tab.  If not, an "error" message will appear.  Review amounts entered and make corrections as deemed necessary.</t>
        </r>
      </text>
    </comment>
    <comment ref="D67" authorId="2" shapeId="0" xr:uid="{00000000-0006-0000-0700-000003000000}">
      <text>
        <r>
          <rPr>
            <b/>
            <sz val="8"/>
            <color indexed="81"/>
            <rFont val="Tahoma"/>
            <family val="2"/>
          </rPr>
          <t>Bonds Payable Due Within One Year</t>
        </r>
        <r>
          <rPr>
            <sz val="8"/>
            <color indexed="81"/>
            <rFont val="Tahoma"/>
            <family val="2"/>
          </rPr>
          <t xml:space="preserve"> in Part 1 must agree to the FY2025 principal amount in Part 2, except as noted below.  If not, an "error" message will appear.  Correct amounts as necessary.
</t>
        </r>
        <r>
          <rPr>
            <u/>
            <sz val="8"/>
            <color indexed="81"/>
            <rFont val="Tahoma"/>
            <family val="2"/>
          </rPr>
          <t>Exception:</t>
        </r>
        <r>
          <rPr>
            <sz val="8"/>
            <color indexed="81"/>
            <rFont val="Tahoma"/>
            <family val="2"/>
          </rPr>
          <t xml:space="preserve"> If demand bonds and/or bonds that are callable because of a debt violation must be reported as a current liability in accordance with FASB standards.</t>
        </r>
      </text>
    </comment>
    <comment ref="B89" authorId="1" shapeId="0" xr:uid="{00000000-0006-0000-0700-000004000000}">
      <text>
        <r>
          <rPr>
            <b/>
            <sz val="8"/>
            <color indexed="81"/>
            <rFont val="Tahoma"/>
            <family val="2"/>
          </rPr>
          <t xml:space="preserve">Total Bonds Payable Principal Amount </t>
        </r>
        <r>
          <rPr>
            <sz val="8"/>
            <color indexed="81"/>
            <rFont val="Tahoma"/>
            <family val="2"/>
          </rPr>
          <t xml:space="preserve">must agree to the total "Due Within One Year" </t>
        </r>
        <r>
          <rPr>
            <b/>
            <sz val="8"/>
            <color indexed="81"/>
            <rFont val="Tahoma"/>
            <family val="2"/>
          </rPr>
          <t>plus</t>
        </r>
        <r>
          <rPr>
            <sz val="8"/>
            <color indexed="81"/>
            <rFont val="Tahoma"/>
            <family val="2"/>
          </rPr>
          <t xml:space="preserve"> the total "Due Greater Than One Year" bonds payable amount reported on the Component Unit Template tab.  If not, an "error" message will appear.  Correct amounts as necessary.
</t>
        </r>
      </text>
    </comment>
    <comment ref="D97" authorId="2" shapeId="0" xr:uid="{00000000-0006-0000-0700-000005000000}">
      <text>
        <r>
          <rPr>
            <b/>
            <sz val="8"/>
            <color indexed="81"/>
            <rFont val="Tahoma"/>
            <family val="2"/>
          </rPr>
          <t xml:space="preserve">Installment Purchases Due Within One Year </t>
        </r>
        <r>
          <rPr>
            <sz val="8"/>
            <color indexed="81"/>
            <rFont val="Tahoma"/>
            <family val="2"/>
          </rPr>
          <t>in Part 1 must agree to the FY2025 principal amount in Part 3.  If not, an "error" message will appear.  Correct amounts as necessary.</t>
        </r>
        <r>
          <rPr>
            <sz val="9"/>
            <color indexed="81"/>
            <rFont val="Tahoma"/>
            <family val="2"/>
          </rPr>
          <t xml:space="preserve">
</t>
        </r>
      </text>
    </comment>
    <comment ref="B114" authorId="1" shapeId="0" xr:uid="{00000000-0006-0000-0700-000006000000}">
      <text>
        <r>
          <rPr>
            <b/>
            <sz val="8"/>
            <color indexed="81"/>
            <rFont val="Tahoma"/>
            <family val="2"/>
          </rPr>
          <t xml:space="preserve">Total Future Principal Amounts </t>
        </r>
        <r>
          <rPr>
            <sz val="8"/>
            <color indexed="81"/>
            <rFont val="Tahoma"/>
            <family val="2"/>
          </rPr>
          <t xml:space="preserve">must equal the total "Due Within One Year" </t>
        </r>
        <r>
          <rPr>
            <b/>
            <sz val="8"/>
            <color indexed="81"/>
            <rFont val="Tahoma"/>
            <family val="2"/>
          </rPr>
          <t>plus</t>
        </r>
        <r>
          <rPr>
            <sz val="8"/>
            <color indexed="81"/>
            <rFont val="Tahoma"/>
            <family val="2"/>
          </rPr>
          <t xml:space="preserve"> the total "Due Greater Than One Year"</t>
        </r>
        <r>
          <rPr>
            <b/>
            <sz val="8"/>
            <color indexed="81"/>
            <rFont val="Tahoma"/>
            <family val="2"/>
          </rPr>
          <t xml:space="preserve"> </t>
        </r>
        <r>
          <rPr>
            <sz val="8"/>
            <color indexed="81"/>
            <rFont val="Tahoma"/>
            <family val="2"/>
          </rPr>
          <t>installment purchase obligations reported on the Component Unit Template tab.  If not, an "error" message will appear.  Correct  amounts as necessary.</t>
        </r>
      </text>
    </comment>
    <comment ref="H120" authorId="3" shapeId="0" xr:uid="{00000000-0006-0000-0700-000007000000}">
      <text>
        <r>
          <rPr>
            <sz val="8"/>
            <color indexed="81"/>
            <rFont val="Tahoma"/>
            <family val="2"/>
          </rPr>
          <t>If applicable, provide a description in the space provided.</t>
        </r>
      </text>
    </comment>
    <comment ref="B141" authorId="1" shapeId="0" xr:uid="{00000000-0006-0000-0700-000008000000}">
      <text>
        <r>
          <rPr>
            <b/>
            <sz val="8"/>
            <color indexed="81"/>
            <rFont val="Tahoma"/>
            <family val="2"/>
          </rPr>
          <t xml:space="preserve">Present Value of Net Minimum Lease Payments </t>
        </r>
        <r>
          <rPr>
            <sz val="8"/>
            <color indexed="81"/>
            <rFont val="Tahoma"/>
            <family val="2"/>
          </rPr>
          <t xml:space="preserve">must agree to the total of "Due Within One Year" </t>
        </r>
        <r>
          <rPr>
            <b/>
            <sz val="8"/>
            <color indexed="81"/>
            <rFont val="Tahoma"/>
            <family val="2"/>
          </rPr>
          <t>plus</t>
        </r>
        <r>
          <rPr>
            <sz val="8"/>
            <color indexed="81"/>
            <rFont val="Tahoma"/>
            <family val="2"/>
          </rPr>
          <t xml:space="preserve"> the total "Due Greater Than One Year" Capital Lease Obligations reported on the Component Unit Template tab.  If not, an "error" message will appear.  Correct amounts as necessary.</t>
        </r>
      </text>
    </comment>
    <comment ref="D147" authorId="2" shapeId="0" xr:uid="{00000000-0006-0000-0700-000009000000}">
      <text>
        <r>
          <rPr>
            <b/>
            <sz val="8"/>
            <color indexed="81"/>
            <rFont val="Tahoma"/>
            <family val="2"/>
          </rPr>
          <t xml:space="preserve">Notes Payable Due Within One Year </t>
        </r>
        <r>
          <rPr>
            <sz val="8"/>
            <color indexed="81"/>
            <rFont val="Tahoma"/>
            <family val="2"/>
          </rPr>
          <t xml:space="preserve">in Part 1 must agree to the FY2025 principle amount in Part 4.  If not, an "error" message will appear.  Correct amounts as necessary. </t>
        </r>
        <r>
          <rPr>
            <b/>
            <sz val="8"/>
            <color indexed="81"/>
            <rFont val="Tahoma"/>
            <family val="2"/>
          </rPr>
          <t xml:space="preserve"> </t>
        </r>
        <r>
          <rPr>
            <sz val="9"/>
            <color indexed="81"/>
            <rFont val="Tahoma"/>
            <family val="2"/>
          </rPr>
          <t xml:space="preserve">
</t>
        </r>
      </text>
    </comment>
    <comment ref="B164" authorId="4" shapeId="0" xr:uid="{00000000-0006-0000-0700-00000A000000}">
      <text>
        <r>
          <rPr>
            <b/>
            <sz val="8"/>
            <color indexed="81"/>
            <rFont val="Tahoma"/>
            <family val="2"/>
          </rPr>
          <t xml:space="preserve">Notes Payable </t>
        </r>
        <r>
          <rPr>
            <sz val="8"/>
            <color indexed="81"/>
            <rFont val="Tahoma"/>
            <family val="2"/>
          </rPr>
          <t xml:space="preserve">must agree to the total of "Due Within One Year" </t>
        </r>
        <r>
          <rPr>
            <b/>
            <sz val="8"/>
            <color indexed="81"/>
            <rFont val="Tahoma"/>
            <family val="2"/>
          </rPr>
          <t>plus</t>
        </r>
        <r>
          <rPr>
            <sz val="8"/>
            <color indexed="81"/>
            <rFont val="Tahoma"/>
            <family val="2"/>
          </rPr>
          <t xml:space="preserve"> the total "Due Greater Than One Year" Notes Payable reported on the Component Unit Template tab.  If not, an "error" message will appear.  Correct amounts as necessary.</t>
        </r>
        <r>
          <rPr>
            <sz val="7"/>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dba</author>
    <author>VITA Program</author>
  </authors>
  <commentList>
    <comment ref="B6" authorId="0" shapeId="0" xr:uid="{00000000-0006-0000-08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COMPLETE THE </t>
        </r>
        <r>
          <rPr>
            <b/>
            <sz val="8"/>
            <color indexed="81"/>
            <rFont val="Tahoma"/>
            <family val="2"/>
          </rPr>
          <t>REVISION CONTROL LOG TAB.</t>
        </r>
        <r>
          <rPr>
            <sz val="8"/>
            <color indexed="81"/>
            <rFont val="Tahoma"/>
            <family val="2"/>
          </rPr>
          <t xml:space="preserve">
</t>
        </r>
      </text>
    </comment>
    <comment ref="E31" authorId="1" shapeId="0" xr:uid="{00000000-0006-0000-0800-000002000000}">
      <text>
        <r>
          <rPr>
            <b/>
            <sz val="8"/>
            <color indexed="81"/>
            <rFont val="Tahoma"/>
            <family val="2"/>
          </rPr>
          <t xml:space="preserve">Short-term Debt
</t>
        </r>
        <r>
          <rPr>
            <sz val="8"/>
            <color indexed="81"/>
            <rFont val="Tahoma"/>
            <family val="2"/>
          </rPr>
          <t>Short-term Debt must agree to the amount reported on the Statement of Net Position template. If not, an "error" message will appear.  Correct amounts as necessary.</t>
        </r>
        <r>
          <rPr>
            <sz val="9"/>
            <color indexed="81"/>
            <rFont val="Tahoma"/>
            <family val="2"/>
          </rPr>
          <t xml:space="preserve">
</t>
        </r>
      </text>
    </comment>
  </commentList>
</comments>
</file>

<file path=xl/sharedStrings.xml><?xml version="1.0" encoding="utf-8"?>
<sst xmlns="http://schemas.openxmlformats.org/spreadsheetml/2006/main" count="1653" uniqueCount="961">
  <si>
    <t>BOARD OF BAR EXAMINERS</t>
  </si>
  <si>
    <t>VIRGINIA MUSEUM OF FINE ARTS</t>
  </si>
  <si>
    <t>FRONTIER CULTURE MUSEUM OF VIRGINIA</t>
  </si>
  <si>
    <t>VIRGINIA-ISRAEL ADVISORY BOARD</t>
  </si>
  <si>
    <t>MARINE RESOURCES COMMISSION</t>
  </si>
  <si>
    <t>VIRGINIA RACING COMMISSION</t>
  </si>
  <si>
    <t>DEPARTMENT OF FORESTRY</t>
  </si>
  <si>
    <t>GUNSTON HALL</t>
  </si>
  <si>
    <t>DEPARTMENT OF HISTORIC RESOURCES</t>
  </si>
  <si>
    <t>JAMESTOWN-YORKTOWN FOUNDATION</t>
  </si>
  <si>
    <t>DEPARTMENT OF ENVIRONMENTAL QUALITY</t>
  </si>
  <si>
    <t>DEPARTMENT OF TRANSPORTATION</t>
  </si>
  <si>
    <t>MOTOR VEHICLE DEALER BOARD</t>
  </si>
  <si>
    <t>DEPARTMENT OF MOTOR VEHICLES TRANSFER PAYMENTS</t>
  </si>
  <si>
    <t>DEPARTMENT OF HEALTH</t>
  </si>
  <si>
    <t>VIRGINIA CORRECTIONAL ENTERPRISES</t>
  </si>
  <si>
    <t>DEPARTMENT OF SOCIAL SERVICES</t>
  </si>
  <si>
    <t>DEPARTMENT OF JUVENILE JUSTICE</t>
  </si>
  <si>
    <t>DEPARTMENT OF FORENSIC SCIENCE</t>
  </si>
  <si>
    <t>CAPITOL SQUARE PRESERVATION COUNCIL</t>
  </si>
  <si>
    <t>VIRGINIA COMMISSION ON YOUTH</t>
  </si>
  <si>
    <t>VIRGINIA HOUSING COMMISSION</t>
  </si>
  <si>
    <t>DEPARTMENT OF AVIATION</t>
  </si>
  <si>
    <t>CHESAPEAKE BAY COMMISSION</t>
  </si>
  <si>
    <t>JOINT COMMISSION ON HEALTH CARE</t>
  </si>
  <si>
    <t>INDIGENT DEFENSE COMMISSION</t>
  </si>
  <si>
    <t>DEPARTMENT OF VETERANS SERVICES</t>
  </si>
  <si>
    <t>INTERSTATE ORGANIZATION CONTRIBUTIONS</t>
  </si>
  <si>
    <t>VIRGINIA MUSEUM OF NATURAL HISTORY</t>
  </si>
  <si>
    <t>DEPARTMENT OF FIRE PROGRAMS</t>
  </si>
  <si>
    <t>DIVISION OF CAPITOL POLICE</t>
  </si>
  <si>
    <t>Other Postemployment Benefits - Due Greater Than One Year</t>
  </si>
  <si>
    <t>Other Postemployment Benefits- Due Within One Year</t>
  </si>
  <si>
    <t>Science Museum of Virginia Foundation, Inc.</t>
  </si>
  <si>
    <t>Restricted cash held by the Treasurer of Virginia</t>
  </si>
  <si>
    <t>Date Completed:</t>
  </si>
  <si>
    <t>Yes or No</t>
  </si>
  <si>
    <t>Prior Year</t>
  </si>
  <si>
    <t>Expenses For Security Lending Transactions</t>
  </si>
  <si>
    <t>Income From Security Lending Transactions</t>
  </si>
  <si>
    <t>Special Items (include description)</t>
  </si>
  <si>
    <t>Extraordinary Items (include description)</t>
  </si>
  <si>
    <t>Total Capital Assets</t>
  </si>
  <si>
    <t>Long-term debt related to capital assets (enter negative numbers):</t>
  </si>
  <si>
    <t xml:space="preserve">  Capital Lease Obligations</t>
  </si>
  <si>
    <t xml:space="preserve">  Installment Purchase Obligations</t>
  </si>
  <si>
    <t xml:space="preserve">  Bonds Payable</t>
  </si>
  <si>
    <t xml:space="preserve">  Other Long-term Liabilities, list below:</t>
  </si>
  <si>
    <t>CHECK FIGURE</t>
  </si>
  <si>
    <t>Long-term debt line item possibly related to capital assets</t>
  </si>
  <si>
    <t>Per This Tab 
(Linked)</t>
  </si>
  <si>
    <t>Difference</t>
  </si>
  <si>
    <t>Danville Science Center, Inc.</t>
  </si>
  <si>
    <t>Library of Virginia Foundation</t>
  </si>
  <si>
    <t>Virginia Commercial Space Flight Authority</t>
  </si>
  <si>
    <t>Virginia Resources Authority</t>
  </si>
  <si>
    <t>Installment Purchase Obligations - Due Greater Than One Year</t>
  </si>
  <si>
    <t>Other Liabilities - Due Greater Than One Year - Total</t>
  </si>
  <si>
    <t>Other Liabilities - Due Within One Year - Total</t>
  </si>
  <si>
    <t>Capital Lease Obligations - Due Greater Than One Year</t>
  </si>
  <si>
    <t>Explanation of the Difference</t>
  </si>
  <si>
    <t>Unearned Revenue</t>
  </si>
  <si>
    <t>Restricted Local Government Investment Pool - Cash Equivalents</t>
  </si>
  <si>
    <t>Restricted Local Government Investment Pool - Investments</t>
  </si>
  <si>
    <t>(Linked)</t>
  </si>
  <si>
    <t>Capital Grants and Contributions (include capital appropriations here)</t>
  </si>
  <si>
    <t>Salaries/Wages</t>
  </si>
  <si>
    <t>Other</t>
  </si>
  <si>
    <t>Short-term Debt</t>
  </si>
  <si>
    <t>Tab 4  Parts 1 &amp; 2</t>
  </si>
  <si>
    <t>Tab 4  Parts 1 &amp; 3</t>
  </si>
  <si>
    <t>Tab 4  Parts 1 &amp; 4</t>
  </si>
  <si>
    <t>Tab 4  Parts 1 &amp; 5</t>
  </si>
  <si>
    <t>Tab 4  Part 1</t>
  </si>
  <si>
    <t>Tab 6</t>
  </si>
  <si>
    <t>Tab 7</t>
  </si>
  <si>
    <t>Part 5)</t>
  </si>
  <si>
    <t xml:space="preserve">Unrestricted cash held by the Treasurer of Virginia </t>
  </si>
  <si>
    <t>Due Within One Year</t>
  </si>
  <si>
    <t>Compensated Absences</t>
  </si>
  <si>
    <t xml:space="preserve">    Total</t>
  </si>
  <si>
    <t>Maturity Fiscal Year Ended June 30:</t>
  </si>
  <si>
    <t>Principal</t>
  </si>
  <si>
    <t>Interest</t>
  </si>
  <si>
    <t>Restricted Cash Equivalents not with the Treasurer of Virginia (excludes SNAP)</t>
  </si>
  <si>
    <t>Provide the estimated lives of capital assets:</t>
  </si>
  <si>
    <t xml:space="preserve">  Notes Payable</t>
  </si>
  <si>
    <t xml:space="preserve">  Bond Anticipation Notes</t>
  </si>
  <si>
    <t>CHECK 
FIGURES</t>
  </si>
  <si>
    <t>Provide the capitalization criteria for capital assets:</t>
  </si>
  <si>
    <t>Tab 4 Parts 1 &amp; 6</t>
  </si>
  <si>
    <t>Capital Asset Capitalization Policy</t>
  </si>
  <si>
    <t>Historical Treasures</t>
  </si>
  <si>
    <t>Livestock</t>
  </si>
  <si>
    <t>Cash and Travel Advances</t>
  </si>
  <si>
    <t>Unamortized Bond Issuance Expense</t>
  </si>
  <si>
    <t>Other Assets</t>
  </si>
  <si>
    <t>Other Assets - Total</t>
  </si>
  <si>
    <r>
      <t xml:space="preserve">If </t>
    </r>
    <r>
      <rPr>
        <b/>
        <sz val="8"/>
        <rFont val="Times New Roman"/>
        <family val="1"/>
      </rPr>
      <t>no</t>
    </r>
    <r>
      <rPr>
        <sz val="8"/>
        <rFont val="Times New Roman"/>
        <family val="1"/>
      </rPr>
      <t xml:space="preserve"> - Provide the capitalization policy below.</t>
    </r>
  </si>
  <si>
    <r>
      <t xml:space="preserve">If </t>
    </r>
    <r>
      <rPr>
        <b/>
        <sz val="8"/>
        <rFont val="Times New Roman"/>
        <family val="1"/>
      </rPr>
      <t>yes</t>
    </r>
    <r>
      <rPr>
        <sz val="8"/>
        <rFont val="Times New Roman"/>
        <family val="1"/>
      </rPr>
      <t xml:space="preserve"> - Additional explanation not required.</t>
    </r>
  </si>
  <si>
    <t>Fiscal Year Ended June 30:</t>
  </si>
  <si>
    <t>$ Amount</t>
  </si>
  <si>
    <t xml:space="preserve">  Total Gross Minimum Lease Payments</t>
  </si>
  <si>
    <t xml:space="preserve"> Less: Executory Costs (negative $)</t>
  </si>
  <si>
    <t xml:space="preserve"> Net Minimum Lease Payments</t>
  </si>
  <si>
    <t>Less: Interest (negative $)</t>
  </si>
  <si>
    <t xml:space="preserve"> Present Value of Net Minimum Lease Payments</t>
  </si>
  <si>
    <t>Notes Payable - Due Greater Than One Year</t>
  </si>
  <si>
    <t>Compensated Absences - Due Greater Than One Year</t>
  </si>
  <si>
    <t>Pension Liability - Due Greater Than One Year</t>
  </si>
  <si>
    <t>Other - Due Within One Year</t>
  </si>
  <si>
    <t>Other - Due Greater Than One Year</t>
  </si>
  <si>
    <t>Category</t>
  </si>
  <si>
    <t>Unrestricted SNAP Individual Portfolio - Cash Equivalents</t>
  </si>
  <si>
    <r>
      <t xml:space="preserve">Unrestricted Cash Equivalents </t>
    </r>
    <r>
      <rPr>
        <b/>
        <sz val="10"/>
        <rFont val="Times New Roman"/>
        <family val="1"/>
      </rPr>
      <t>not held</t>
    </r>
    <r>
      <rPr>
        <sz val="10"/>
        <rFont val="Times New Roman"/>
        <family val="1"/>
      </rPr>
      <t xml:space="preserve"> with Treasurer of VA (excludes SNAP)</t>
    </r>
  </si>
  <si>
    <r>
      <t xml:space="preserve">Restricted Cash Equivalents </t>
    </r>
    <r>
      <rPr>
        <b/>
        <sz val="10"/>
        <rFont val="Times New Roman"/>
        <family val="1"/>
      </rPr>
      <t>not held</t>
    </r>
    <r>
      <rPr>
        <sz val="10"/>
        <rFont val="Times New Roman"/>
        <family val="1"/>
      </rPr>
      <t xml:space="preserve"> with Treasurer of VA (excludes SNAP)</t>
    </r>
  </si>
  <si>
    <t>Unrestricted SNAP Individual Portfolio - Investments</t>
  </si>
  <si>
    <r>
      <t xml:space="preserve">Unrestricted Investments </t>
    </r>
    <r>
      <rPr>
        <b/>
        <sz val="10"/>
        <rFont val="Times New Roman"/>
        <family val="1"/>
      </rPr>
      <t>not held</t>
    </r>
    <r>
      <rPr>
        <sz val="10"/>
        <rFont val="Times New Roman"/>
        <family val="1"/>
      </rPr>
      <t xml:space="preserve"> with Treasurer of VA (excludes SNAP)</t>
    </r>
  </si>
  <si>
    <t>Restricted for:</t>
  </si>
  <si>
    <t>Capital Projects Construction</t>
  </si>
  <si>
    <t>Capital Acquisition</t>
  </si>
  <si>
    <t>Debt Service</t>
  </si>
  <si>
    <t>Bond Indenture</t>
  </si>
  <si>
    <t>Unrestricted</t>
  </si>
  <si>
    <t>Gross Amounts:</t>
  </si>
  <si>
    <t xml:space="preserve">  Taxes Receivable</t>
  </si>
  <si>
    <t xml:space="preserve">  Other Receivables</t>
  </si>
  <si>
    <t xml:space="preserve">     Total Allowance for Doubtful Accounts</t>
  </si>
  <si>
    <t xml:space="preserve">     Total Gross Receivables</t>
  </si>
  <si>
    <t>Gross Capital Assets</t>
  </si>
  <si>
    <t>Less: Unamortized Discount (negative amount)</t>
  </si>
  <si>
    <t>Less: Discount Unaccreted Capital Appreciation Bonds (negative amount)</t>
  </si>
  <si>
    <t>Installment Purchase Obligations - Due within one year</t>
  </si>
  <si>
    <t>Bonds Payable - Due Within One Year</t>
  </si>
  <si>
    <t>Capital Lease Obligations - Due Within One Year</t>
  </si>
  <si>
    <t>Notes Payable - Due Within One Year</t>
  </si>
  <si>
    <t>Compensated Absences - Due Within One Year</t>
  </si>
  <si>
    <t>Highest Rate:</t>
  </si>
  <si>
    <t>Bond Issue Date Ranges:</t>
  </si>
  <si>
    <t>Oldest Issue Date:</t>
  </si>
  <si>
    <t>Most Recent Issue Date:</t>
  </si>
  <si>
    <t>Enter Date</t>
  </si>
  <si>
    <t xml:space="preserve">       Total Accumulated Depreciation</t>
  </si>
  <si>
    <t xml:space="preserve">   </t>
  </si>
  <si>
    <t xml:space="preserve">   Total Depreciable Capital Assets, Net</t>
  </si>
  <si>
    <t xml:space="preserve">   Total Capital Assets, Net</t>
  </si>
  <si>
    <t>Years</t>
  </si>
  <si>
    <t>Is the reason the works of art and/or historical treasures are not being capitalized because all</t>
  </si>
  <si>
    <t xml:space="preserve">                                                                                                          If it does not, an "error" message will appear in the blue box to the right.</t>
  </si>
  <si>
    <r>
      <t xml:space="preserve">     If </t>
    </r>
    <r>
      <rPr>
        <b/>
        <sz val="10"/>
        <rFont val="Times New Roman"/>
        <family val="1"/>
      </rPr>
      <t>no</t>
    </r>
    <r>
      <rPr>
        <sz val="10"/>
        <rFont val="Times New Roman"/>
        <family val="1"/>
      </rPr>
      <t>, provide an explanation.</t>
    </r>
  </si>
  <si>
    <t>DEBT</t>
  </si>
  <si>
    <t>EQUITY</t>
  </si>
  <si>
    <t>Restricted State Non-Arbitrage Program (SNAP) Pool Funds</t>
  </si>
  <si>
    <t>General Revenues</t>
  </si>
  <si>
    <r>
      <t>Do NOT enter petty cash or advances.</t>
    </r>
    <r>
      <rPr>
        <sz val="10"/>
        <rFont val="Times New Roman"/>
        <family val="1"/>
      </rPr>
      <t xml:space="preserve">  Attach a reconciliation if there is a variance.</t>
    </r>
  </si>
  <si>
    <t>Part 2)  Capital Asset Capitalization Policy</t>
  </si>
  <si>
    <t>Other Assets (include description)</t>
  </si>
  <si>
    <t>Restricted Other Assets (include description)</t>
  </si>
  <si>
    <t>Other (include description)</t>
  </si>
  <si>
    <t>Other Liabilities (include description)</t>
  </si>
  <si>
    <t>Other - Due Within One Year (include description)</t>
  </si>
  <si>
    <t>Other - Due Greater Than One Year (include description)</t>
  </si>
  <si>
    <t>Computer Software</t>
  </si>
  <si>
    <t>Patents / Trademarks / Copyrights</t>
  </si>
  <si>
    <t>Water Rights and/or Easements</t>
  </si>
  <si>
    <r>
      <t xml:space="preserve">  Intangible Assets (</t>
    </r>
    <r>
      <rPr>
        <b/>
        <u/>
        <sz val="8"/>
        <rFont val="Times New Roman"/>
        <family val="1"/>
      </rPr>
      <t>GASBS 51</t>
    </r>
    <r>
      <rPr>
        <sz val="8"/>
        <rFont val="Times New Roman"/>
        <family val="1"/>
      </rPr>
      <t>)</t>
    </r>
  </si>
  <si>
    <r>
      <t>Intangible Assets with Indefinite Useful Life (</t>
    </r>
    <r>
      <rPr>
        <b/>
        <u/>
        <sz val="8"/>
        <rFont val="Times New Roman"/>
        <family val="1"/>
      </rPr>
      <t>GASBS 51</t>
    </r>
    <r>
      <rPr>
        <sz val="8"/>
        <rFont val="Times New Roman"/>
        <family val="1"/>
      </rPr>
      <t>)</t>
    </r>
  </si>
  <si>
    <t>Other Intangibles</t>
  </si>
  <si>
    <t xml:space="preserve">   Total Nondepreciable Capital Assets</t>
  </si>
  <si>
    <t>Contributions to Permanent Endowments</t>
  </si>
  <si>
    <t>Bonds Payable (Part 2)</t>
  </si>
  <si>
    <t>Installment Purchase Obligations (Part 3)</t>
  </si>
  <si>
    <t>Capital Lease Obligations (Part 4)</t>
  </si>
  <si>
    <t>Notes Payable (Part 5)</t>
  </si>
  <si>
    <t>Pension Liability (Part 6)</t>
  </si>
  <si>
    <t>Deposits Pending Distribution</t>
  </si>
  <si>
    <t>Amount</t>
  </si>
  <si>
    <t>Restricted Cash not with the Treasurer of Virginia</t>
  </si>
  <si>
    <t>Restricted Cash and Cash Equivalents - Total</t>
  </si>
  <si>
    <t>Restricted Investments - Total</t>
  </si>
  <si>
    <t>Restricted Cash and Travel Advances</t>
  </si>
  <si>
    <t>Restricted Unamortized Bond Issuance Expense</t>
  </si>
  <si>
    <t>Restricted Other Assets</t>
  </si>
  <si>
    <t>Restricted Other Assets - Total</t>
  </si>
  <si>
    <t>Nondepreciable Capital Assets</t>
  </si>
  <si>
    <t>Obligations Under Securities Lending Program</t>
  </si>
  <si>
    <t>Loans Payable to Primary Government</t>
  </si>
  <si>
    <t>N/A</t>
  </si>
  <si>
    <t>Advances (nonexchange transactions)</t>
  </si>
  <si>
    <t>Inventory</t>
  </si>
  <si>
    <t>Prepaid Items</t>
  </si>
  <si>
    <t>Restricted Advances (nonexchange transactions)</t>
  </si>
  <si>
    <t>TOTAL ASSETS</t>
  </si>
  <si>
    <t>Assets</t>
  </si>
  <si>
    <t>Liabilities</t>
  </si>
  <si>
    <t>Accounts Payable - Total</t>
  </si>
  <si>
    <t>Due to Component Units</t>
  </si>
  <si>
    <t>Accrued Interest Payable</t>
  </si>
  <si>
    <t>Other Liabilities</t>
  </si>
  <si>
    <t>Grants Payable</t>
  </si>
  <si>
    <t>Taxes Receivable, net</t>
  </si>
  <si>
    <t>Other Receivable, net</t>
  </si>
  <si>
    <t xml:space="preserve">  Loans Receivable</t>
  </si>
  <si>
    <t xml:space="preserve">  Other Receivables </t>
  </si>
  <si>
    <t xml:space="preserve">  Accounts Receivable</t>
  </si>
  <si>
    <t>Part 6)</t>
  </si>
  <si>
    <t>Part 7)</t>
  </si>
  <si>
    <t>Part 10)</t>
  </si>
  <si>
    <t>Part 11)</t>
  </si>
  <si>
    <t>Restricted SNAP Individual Portfolio - Investments</t>
  </si>
  <si>
    <t>Restricted SNAP Individual Portfolio - Cash Equivalents</t>
  </si>
  <si>
    <t>Restricted Cash Equivalents with the Treasurer of Virginia (excludes LGIP &amp; SNAP)</t>
  </si>
  <si>
    <t>Restricted Investments with the Treasurer of Virginia (excludes LGIP &amp; SNAP)</t>
  </si>
  <si>
    <t>Restricted Investments not with the Treasurer of Virginia (excludes SNAP)</t>
  </si>
  <si>
    <t>Part 8)</t>
  </si>
  <si>
    <t>Description</t>
  </si>
  <si>
    <t xml:space="preserve">Tab 1A, Part 8a </t>
  </si>
  <si>
    <t xml:space="preserve">Tab 1A, Part 8b </t>
  </si>
  <si>
    <t>Less:  Accumulated Depreciation 
(negative $)</t>
  </si>
  <si>
    <r>
      <t xml:space="preserve">Restricted Investments </t>
    </r>
    <r>
      <rPr>
        <b/>
        <sz val="10"/>
        <rFont val="Times New Roman"/>
        <family val="1"/>
      </rPr>
      <t xml:space="preserve">not held </t>
    </r>
    <r>
      <rPr>
        <sz val="10"/>
        <rFont val="Times New Roman"/>
        <family val="1"/>
      </rPr>
      <t>with Treasurer of VA (excludes SNAP)</t>
    </r>
  </si>
  <si>
    <t>Cash Equivalents and Investments held with Treasurer of VA:</t>
  </si>
  <si>
    <t>Total Unrestricted Cash Equivalents held with Treasurer of VA</t>
  </si>
  <si>
    <t>Tab 2 Part 1</t>
  </si>
  <si>
    <t>Tab 2 Part 2</t>
  </si>
  <si>
    <t>Tab 2 Part 3</t>
  </si>
  <si>
    <t>Works of Art/Historical Treasures</t>
  </si>
  <si>
    <t>Does the component unit have any works of art and / or historical treasures that are not capitalized?  Yes or No</t>
  </si>
  <si>
    <t>If yes, provide a description of the works of art and / or historical treasures not capitalized.</t>
  </si>
  <si>
    <t>Is the reason the works of art and / or historical treasures are not being capitalized because all</t>
  </si>
  <si>
    <t>of the following criteria are met by the institution?</t>
  </si>
  <si>
    <t>B)  The assets are "protected, kept unencumbered, cared for, and preserved."</t>
  </si>
  <si>
    <t>A)  The assets are "held for public exhibition, education, or research in furtherance of public service rather than financial gain."</t>
  </si>
  <si>
    <t>C)  The assets are "subject to an organizational policy that requires the proceeds from sales of collection items to be used to acquire other items for collections."</t>
  </si>
  <si>
    <r>
      <t>b.</t>
    </r>
    <r>
      <rPr>
        <b/>
        <sz val="10"/>
        <rFont val="Times New Roman"/>
        <family val="1"/>
      </rPr>
      <t xml:space="preserve">  Restricted Cash Equivalents held with Treasurer of VA (excludes LGIP &amp; SNAP):</t>
    </r>
  </si>
  <si>
    <r>
      <t xml:space="preserve">a.  For </t>
    </r>
    <r>
      <rPr>
        <b/>
        <sz val="10"/>
        <rFont val="Times New Roman"/>
        <family val="1"/>
      </rPr>
      <t>Unrestricted State Non-Arbitrage Program (SNAP Pool) Funds</t>
    </r>
    <r>
      <rPr>
        <sz val="10"/>
        <rFont val="Times New Roman"/>
        <family val="1"/>
      </rPr>
      <t>, provide the following:</t>
    </r>
  </si>
  <si>
    <r>
      <t xml:space="preserve">c.  For </t>
    </r>
    <r>
      <rPr>
        <b/>
        <sz val="10"/>
        <rFont val="Times New Roman"/>
        <family val="1"/>
      </rPr>
      <t>Unrestricted SNAP Individual Portfolio</t>
    </r>
    <r>
      <rPr>
        <sz val="10"/>
        <rFont val="Times New Roman"/>
        <family val="1"/>
      </rPr>
      <t>,  provide the following:</t>
    </r>
  </si>
  <si>
    <t>Tab 2 - Part 1 Receivables</t>
  </si>
  <si>
    <t>Tab 2 - Part 2 Contributions Receivable</t>
  </si>
  <si>
    <t>Due From Primary Government</t>
  </si>
  <si>
    <t>Total Due From Primary Government</t>
  </si>
  <si>
    <t>Total Due to Primary Government</t>
  </si>
  <si>
    <t>Purpose or Description of Due From</t>
  </si>
  <si>
    <t>Purpose or Description of Due To</t>
  </si>
  <si>
    <t>Due From Component Units</t>
  </si>
  <si>
    <t>Component Unit Name
 Amount is Due From</t>
  </si>
  <si>
    <t>Total Due From Component Units</t>
  </si>
  <si>
    <t>Total Due To Component Units</t>
  </si>
  <si>
    <t>Provide a description below</t>
  </si>
  <si>
    <t>Tab 2 - Receivables</t>
  </si>
  <si>
    <t>Tab 3 - Capital Assets</t>
  </si>
  <si>
    <t>Tab 1A, Part 1</t>
  </si>
  <si>
    <t>Tab 1A, Part 2 &amp; 3</t>
  </si>
  <si>
    <t>Tab 3</t>
  </si>
  <si>
    <t>Provide the amount of debt considered Moral Obligation Debt</t>
  </si>
  <si>
    <t>(Enter positive number)</t>
  </si>
  <si>
    <t>Component Unit Phone Number:</t>
  </si>
  <si>
    <t xml:space="preserve">Prior Year's Ending Balance </t>
  </si>
  <si>
    <t>UNIVERSITY OF VIRGINIA MEDICAL CENTER</t>
  </si>
  <si>
    <t>VIRGINIA MILITARY INSTITUTE</t>
  </si>
  <si>
    <t>VIRGINIA STATE UNIVERSITY</t>
  </si>
  <si>
    <t>NORFOLK STATE UNIVERSITY</t>
  </si>
  <si>
    <t>LONGWOOD UNIVERSITY</t>
  </si>
  <si>
    <t>UNIVERSITY OF MARY WASHINGTON</t>
  </si>
  <si>
    <t>JAMES MADISON UNIVERSITY</t>
  </si>
  <si>
    <t>RADFORD UNIVERSITY</t>
  </si>
  <si>
    <t>OLD DOMINION UNIVERSITY</t>
  </si>
  <si>
    <t>RICHARD BLAND COLLEGE</t>
  </si>
  <si>
    <t>UNIVERSITY OF VIRGINIA'S COLLEGE AT WISE</t>
  </si>
  <si>
    <t>GEORGE MASON UNIVERSITY</t>
  </si>
  <si>
    <t>VIRGINIA COMMUNITY COLLEGE SYSTEM</t>
  </si>
  <si>
    <t>NEW RIVER COMMUNITY COLLEGE</t>
  </si>
  <si>
    <t>SOUTHSIDE VIRGINIA COMMUNITY COLLEGE</t>
  </si>
  <si>
    <t>DANVILLE COMMUNITY COLLEGE</t>
  </si>
  <si>
    <t>NORTHERN VIRGINIA COMMUNITY COLLEGE</t>
  </si>
  <si>
    <t>PIEDMONT VIRGINIA COMMUNITY COLLEGE</t>
  </si>
  <si>
    <t>EASTERN SHORE COMMUNITY COLLEGE</t>
  </si>
  <si>
    <t>VIRGINIA WESTERN COMMUNITY COLLEGE</t>
  </si>
  <si>
    <t>WYTHEVILLE COMMUNITY COLLEGE</t>
  </si>
  <si>
    <t>SOUTHWEST VIRGINIA COMMUNITY COLLEGE</t>
  </si>
  <si>
    <t>TIDEWATER COMMUNITY COLLEGE</t>
  </si>
  <si>
    <t>VIRGINIA HIGHLANDS COMMUNITY COLLEGE</t>
  </si>
  <si>
    <t>MOUNTAIN EMPIRE COMMUNITY COLLEGE</t>
  </si>
  <si>
    <t>ROANOKE HIGHER EDUCATION AUTHORITY</t>
  </si>
  <si>
    <t>NEW COLLEGE INSTITUTE</t>
  </si>
  <si>
    <t>VIRGINIA COLLEGE BUILDING AUTHORITY</t>
  </si>
  <si>
    <t>DANVILLE SCIENCE CENTER, INC.</t>
  </si>
  <si>
    <t>FORT MONROE AUTHORITY</t>
  </si>
  <si>
    <t>HAMPTON ROADS SANITATION DISTRICT COMMISSION</t>
  </si>
  <si>
    <t>LIBRARY OF VIRGINIA FOUNDATION</t>
  </si>
  <si>
    <t>VIRGINIA COMMERCIAL SPACE FLIGHT AUTHORITY</t>
  </si>
  <si>
    <t>VIRGINIA ECONOMIC DEVELOPMENT PARTNERSHIP</t>
  </si>
  <si>
    <t>VIRGINIA HOUSING DEVELOPMENT AUTHORITY</t>
  </si>
  <si>
    <t>VIRGINIA LAND CONSERVATION FOUNDATION</t>
  </si>
  <si>
    <t>VIRGINIA MUSEUM OF FINE ARTS FOUNDATION</t>
  </si>
  <si>
    <t>VIRGINIA OFFSHORE WIND DEVELOPMENT AUTHORITY</t>
  </si>
  <si>
    <t>VIRGINIA OUTDOORS FOUNDATION</t>
  </si>
  <si>
    <t>VIRGINIA PUBLIC SCHOOL AUTHORITY</t>
  </si>
  <si>
    <t>VIRGINIA RESOURCES AUTHORITY</t>
  </si>
  <si>
    <t>VIRGINIA SCHOOL FOR THE DEAF AND BLIND FOUNDATION</t>
  </si>
  <si>
    <t>VIRGINIA SMALL BUSINESS FINANCING AUTHORITY</t>
  </si>
  <si>
    <t>VIRGINIA TOURISM AUTHORITY</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</si>
  <si>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</si>
  <si>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</si>
  <si>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</si>
  <si>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</si>
  <si>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</si>
  <si>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</si>
  <si>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</si>
  <si>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</si>
  <si>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</si>
  <si>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</si>
  <si>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OFFICE OF THE GOVERNOR</t>
  </si>
  <si>
    <t>DEPARTMENT OF PLANNING AND BUDGET</t>
  </si>
  <si>
    <t>DEPARTMENT OF MILITARY AFFAIRS</t>
  </si>
  <si>
    <t>COURT OF APPEALS OF VIRGINIA</t>
  </si>
  <si>
    <t>DEPARTMENT OF EMERGENCY MANAGEMENT</t>
  </si>
  <si>
    <t>DEPARTMENT OF HUMAN RESOURCE MANAGEMENT</t>
  </si>
  <si>
    <t>VIRGINIA INFORMATION TECHNOLOGIES AGENCY</t>
  </si>
  <si>
    <t>DEPARTMENT OF CRIMINAL JUSTICE SERVICES</t>
  </si>
  <si>
    <t>THE SCIENCE MUSEUM OF VIRGINIA</t>
  </si>
  <si>
    <t>VIRGINIA COMMISSION FOR THE ARTS</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</si>
  <si>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</si>
  <si>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</si>
  <si>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</si>
  <si>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</si>
  <si>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</si>
  <si>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</si>
  <si>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</si>
  <si>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</si>
  <si>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</si>
  <si>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</si>
  <si>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</si>
  <si>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</si>
  <si>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</si>
  <si>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</si>
  <si>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</si>
  <si>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</si>
  <si>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</si>
  <si>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</si>
  <si>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</si>
  <si>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</si>
  <si>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</si>
  <si>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SECRETARY OF AGRICULTURE AND FORESTRY</t>
  </si>
  <si>
    <t>DEPARTMENT OF GENERAL SERVICES</t>
  </si>
  <si>
    <t>THE LIBRARY OF VIRGINIA</t>
  </si>
  <si>
    <t>DEPARTMENT OF HEALTH PROFESSIONS</t>
  </si>
  <si>
    <t>BOARD OF ACCOUNTANCY</t>
  </si>
  <si>
    <t>Loss on Sale/Disposal/Impairment of Capital Assets</t>
  </si>
  <si>
    <t>Tab 4:  Long-term Liabilities</t>
  </si>
  <si>
    <t xml:space="preserve">Part 1)  </t>
  </si>
  <si>
    <t xml:space="preserve">Part 2)  </t>
  </si>
  <si>
    <t>a)  Reported amount</t>
  </si>
  <si>
    <t xml:space="preserve">Part 3)  </t>
  </si>
  <si>
    <t>Date:</t>
  </si>
  <si>
    <t>Part 1a)  Comparison of Beginning Balances to Prior Year's Ending Balances</t>
  </si>
  <si>
    <t>Capital Lease Obligations</t>
  </si>
  <si>
    <t>Installment Purchase Obligations</t>
  </si>
  <si>
    <t>Bonds Payable</t>
  </si>
  <si>
    <t>Notes Payable</t>
  </si>
  <si>
    <t xml:space="preserve">Other </t>
  </si>
  <si>
    <t>Tab 5:  Commitments</t>
  </si>
  <si>
    <t>Gain on Sale/Disposal/Impairment of Capital Assets</t>
  </si>
  <si>
    <t>Tab 6:  Restatements</t>
  </si>
  <si>
    <t>Tab 1A, Part 10a</t>
  </si>
  <si>
    <t>Tab 1A, Part  9a</t>
  </si>
  <si>
    <t>Tab 1A, Part 9a</t>
  </si>
  <si>
    <t>Tab 1A, Part 9b</t>
  </si>
  <si>
    <t>Tab 1A, Part 10b</t>
  </si>
  <si>
    <t>Tab 1A, Parts 9b</t>
  </si>
  <si>
    <t>Component Unit Contact:</t>
  </si>
  <si>
    <t xml:space="preserve">Net Revenue (Expense) </t>
  </si>
  <si>
    <t>Operating and Nonoperating Expenses</t>
  </si>
  <si>
    <t>Program Revenues - Total</t>
  </si>
  <si>
    <t>Due to Primary Government</t>
  </si>
  <si>
    <t>Infrastructure</t>
  </si>
  <si>
    <t>Other Capital Asset Category</t>
  </si>
  <si>
    <t>Tab 4A - Short-term Debt</t>
  </si>
  <si>
    <t>Tab References That</t>
  </si>
  <si>
    <t>Bank Balance Amount</t>
  </si>
  <si>
    <t xml:space="preserve">b)  Bank balance as of June 30  </t>
  </si>
  <si>
    <t>(Include all short-term debt activity, even if no short-term debt is outstanding at year-end.)</t>
  </si>
  <si>
    <t>TOTAL LIABILITIES</t>
  </si>
  <si>
    <t>Receivables, Net - Total</t>
  </si>
  <si>
    <t>Part 1)  Schedule of Changes in Capital Assets</t>
  </si>
  <si>
    <t>Component Unit Comment:</t>
  </si>
  <si>
    <t>Provide a description of the short-term debt items listed above, including the purpose for which it was issued.</t>
  </si>
  <si>
    <t>Revision Date</t>
  </si>
  <si>
    <t xml:space="preserve">Row Number </t>
  </si>
  <si>
    <t>Column Letter</t>
  </si>
  <si>
    <t>Previous Information</t>
  </si>
  <si>
    <t>Revised Information</t>
  </si>
  <si>
    <r>
      <t xml:space="preserve">    If </t>
    </r>
    <r>
      <rPr>
        <b/>
        <sz val="10"/>
        <rFont val="Times New Roman"/>
        <family val="1"/>
      </rPr>
      <t>yes</t>
    </r>
    <r>
      <rPr>
        <sz val="10"/>
        <rFont val="Times New Roman"/>
        <family val="1"/>
      </rPr>
      <t xml:space="preserve">, please provide explanation.  </t>
    </r>
  </si>
  <si>
    <t>Component Unit Number or Acronym:</t>
  </si>
  <si>
    <t>Tab Name</t>
  </si>
  <si>
    <t>Bond Anticipation Notes - Due Within One Year</t>
  </si>
  <si>
    <t>Bond Anticipation Notes - Due Greater Than One Year</t>
  </si>
  <si>
    <t>Other Financing Sources (Uses)</t>
  </si>
  <si>
    <t>Bond Anticipation Notes</t>
  </si>
  <si>
    <t>Add: Unamortized Premium (positive amount)</t>
  </si>
  <si>
    <t>Part 3:  Installment Purchase Obligations</t>
  </si>
  <si>
    <t>Note A</t>
  </si>
  <si>
    <t xml:space="preserve">Tab 1A - Detail </t>
  </si>
  <si>
    <t>Part 7:  Other Postemployment Benefits (OPEB)</t>
  </si>
  <si>
    <t>Yes</t>
  </si>
  <si>
    <t>Component Unit Name:</t>
  </si>
  <si>
    <t>Total Restricted Cash Equivalents held with Treasurer of VA</t>
  </si>
  <si>
    <t>Restricted Cash held with the Treasurer of Virginia (GLA 101)</t>
  </si>
  <si>
    <t xml:space="preserve"> Cash not held with the Treasurer of Virginia</t>
  </si>
  <si>
    <t>Restricted Cash not held with the Treasurer of Virginia</t>
  </si>
  <si>
    <t>Retainage Payable</t>
  </si>
  <si>
    <t xml:space="preserve"> Cash Equivalents with the Treasurer of Virginia - Securities Lending</t>
  </si>
  <si>
    <t>Component Unit Template</t>
  </si>
  <si>
    <t>Tab 1B - Cash Eq. &amp; Inv. Not w Tr</t>
  </si>
  <si>
    <t>Tab 4 - LT Liabilities</t>
  </si>
  <si>
    <t>Tab 5 - Commitments</t>
  </si>
  <si>
    <t>Tab 6 - Restatements</t>
  </si>
  <si>
    <t>Computer Software (including websites)</t>
  </si>
  <si>
    <t>Test</t>
  </si>
  <si>
    <t xml:space="preserve">Part 4)  </t>
  </si>
  <si>
    <t>U. S. Treasury and Agency Securities</t>
  </si>
  <si>
    <t>Commercial Paper</t>
  </si>
  <si>
    <t>Negotiable Certificates of Deposit</t>
  </si>
  <si>
    <t>Repurchase Agreements</t>
  </si>
  <si>
    <t>Municipal Securities</t>
  </si>
  <si>
    <t>Common and Preferred Stocks</t>
  </si>
  <si>
    <t>Index Funds</t>
  </si>
  <si>
    <t>Real Estate</t>
  </si>
  <si>
    <t>Other Postemployment Benefits</t>
  </si>
  <si>
    <t>Pension Liability - Due Within One Year</t>
  </si>
  <si>
    <t>Long-term Liabilities - Due Within One Year</t>
  </si>
  <si>
    <t>Bonds Payable - Due Greater Than One Year</t>
  </si>
  <si>
    <t>Total</t>
  </si>
  <si>
    <t>Total Unrestricted Investments held with Treasurer of VA</t>
  </si>
  <si>
    <t>Total Restricted Investments held with Treasurer of VA</t>
  </si>
  <si>
    <t xml:space="preserve">Part 9)  </t>
  </si>
  <si>
    <t xml:space="preserve">Total </t>
  </si>
  <si>
    <t xml:space="preserve">Part 10)  </t>
  </si>
  <si>
    <t>SNAP Account #</t>
  </si>
  <si>
    <t>Component Unit Contact Name:</t>
  </si>
  <si>
    <t>Contributions Receivable, Net</t>
  </si>
  <si>
    <t>Trust and Annuity Obligations-Due Within One Year</t>
  </si>
  <si>
    <t>Trust and Annuity Obligations-Due Greater Than One Year</t>
  </si>
  <si>
    <t>Trust and Annuity Obligations</t>
  </si>
  <si>
    <t>Virginia Pooled Investment Program</t>
  </si>
  <si>
    <t xml:space="preserve">Does the entity have any works of art and/or historical treasures that are not capitalized?  </t>
  </si>
  <si>
    <r>
      <t xml:space="preserve">If </t>
    </r>
    <r>
      <rPr>
        <b/>
        <sz val="8"/>
        <rFont val="Times New Roman"/>
        <family val="1"/>
      </rPr>
      <t>yes</t>
    </r>
    <r>
      <rPr>
        <sz val="8"/>
        <rFont val="Times New Roman"/>
        <family val="1"/>
      </rPr>
      <t xml:space="preserve"> - Provide a description of the works of art and/or historical treasure not capitalized.</t>
    </r>
  </si>
  <si>
    <r>
      <t xml:space="preserve">If </t>
    </r>
    <r>
      <rPr>
        <b/>
        <sz val="8"/>
        <rFont val="Times New Roman"/>
        <family val="1"/>
      </rPr>
      <t xml:space="preserve">no </t>
    </r>
    <r>
      <rPr>
        <sz val="8"/>
        <rFont val="Times New Roman"/>
        <family val="1"/>
      </rPr>
      <t>- Additional explanation not required.</t>
    </r>
  </si>
  <si>
    <t>Operating Appropriations from Primary Government</t>
  </si>
  <si>
    <t>Unrestricted Grants and Contributions</t>
  </si>
  <si>
    <t>Investment Earnings</t>
  </si>
  <si>
    <t>Tobacco Master Settlement</t>
  </si>
  <si>
    <t>General Revenue - Total</t>
  </si>
  <si>
    <t>Transfers from Component Units</t>
  </si>
  <si>
    <t>Gifts and Grants</t>
  </si>
  <si>
    <t>Variance $</t>
  </si>
  <si>
    <t>Variance %</t>
  </si>
  <si>
    <t xml:space="preserve">  Depreciable Works of Art/Historical Treasures</t>
  </si>
  <si>
    <t xml:space="preserve">  Infrastructure (historical approach)</t>
  </si>
  <si>
    <t xml:space="preserve">Increase in Value of Split-Interest Agreements </t>
  </si>
  <si>
    <t>Program Expenses - Total</t>
  </si>
  <si>
    <t>Vendor</t>
  </si>
  <si>
    <t>Part 1:  Schedule of Changes in Long-term Liabilities:</t>
  </si>
  <si>
    <r>
      <t xml:space="preserve">Miscellaneous </t>
    </r>
    <r>
      <rPr>
        <sz val="9"/>
        <rFont val="Times New Roman"/>
        <family val="1"/>
      </rPr>
      <t>(only enter a positive amount)</t>
    </r>
  </si>
  <si>
    <t>Must be Completed</t>
  </si>
  <si>
    <t>Long-term Liabilities - Due Greater Than One Year</t>
  </si>
  <si>
    <t>Part 2:  Bonds Payable</t>
  </si>
  <si>
    <t>Part 4:  Capital Lease Future Payments</t>
  </si>
  <si>
    <t>Due from Component Units</t>
  </si>
  <si>
    <t>Due from Primary Government</t>
  </si>
  <si>
    <t>Statement of Activities</t>
  </si>
  <si>
    <t>Program Revenues</t>
  </si>
  <si>
    <t>Expendable</t>
  </si>
  <si>
    <t>Charges for Services</t>
  </si>
  <si>
    <t>Operating Grants and Contributions</t>
  </si>
  <si>
    <t>Program Expenses</t>
  </si>
  <si>
    <r>
      <t xml:space="preserve">If </t>
    </r>
    <r>
      <rPr>
        <b/>
        <sz val="8"/>
        <rFont val="Times New Roman"/>
        <family val="1"/>
      </rPr>
      <t>no</t>
    </r>
    <r>
      <rPr>
        <sz val="8"/>
        <rFont val="Times New Roman"/>
        <family val="1"/>
      </rPr>
      <t xml:space="preserve"> - Stop. There is no need to complete this footnote.</t>
    </r>
  </si>
  <si>
    <t>Short-term debt is that debt (anticipation notes, lines of credit, and similar loans) owed to a party external to the Commonwealth.</t>
  </si>
  <si>
    <t>Explanations for Restatement:</t>
  </si>
  <si>
    <t xml:space="preserve">  Land</t>
  </si>
  <si>
    <t xml:space="preserve">  Construction in Progress</t>
  </si>
  <si>
    <t xml:space="preserve">  Buildings</t>
  </si>
  <si>
    <t xml:space="preserve">  Infrastructure</t>
  </si>
  <si>
    <t xml:space="preserve">  Equipment</t>
  </si>
  <si>
    <t xml:space="preserve">  Improvements Other Than Buildings</t>
  </si>
  <si>
    <t>A)  Construction Projects:</t>
  </si>
  <si>
    <r>
      <t xml:space="preserve">Special Items </t>
    </r>
    <r>
      <rPr>
        <sz val="9"/>
        <rFont val="Times New Roman"/>
        <family val="1"/>
      </rPr>
      <t>(include description)</t>
    </r>
  </si>
  <si>
    <t xml:space="preserve">Tab 1A, Part 8d </t>
  </si>
  <si>
    <t>Tab 1A, Part 4 &amp; 5</t>
  </si>
  <si>
    <t xml:space="preserve"> Cash and Cash Equivalents - Total</t>
  </si>
  <si>
    <t xml:space="preserve"> Investments with the Treasurer of Virginia - Securities Lending</t>
  </si>
  <si>
    <t xml:space="preserve"> Investments - Total</t>
  </si>
  <si>
    <t>Drop down list:</t>
  </si>
  <si>
    <t>No</t>
  </si>
  <si>
    <t xml:space="preserve">In the space provided below, briefly describe the useful life methodology that has been developed.  Ensure this addresses how the methodology was developed. </t>
  </si>
  <si>
    <t xml:space="preserve">  Other Long-term Liabilities</t>
  </si>
  <si>
    <t>PRIOR YEAR BALANCES</t>
  </si>
  <si>
    <t>Part 6:  Pension</t>
  </si>
  <si>
    <t xml:space="preserve">     Total Net Receivables</t>
  </si>
  <si>
    <t>Balance</t>
  </si>
  <si>
    <t>Nondepreciable Capital Assets:</t>
  </si>
  <si>
    <t>$</t>
  </si>
  <si>
    <t>Prepared by:</t>
  </si>
  <si>
    <t>Name</t>
  </si>
  <si>
    <t>Title</t>
  </si>
  <si>
    <t>Reviewed by:</t>
  </si>
  <si>
    <t xml:space="preserve">    Total Nondepreciable Capital Assets</t>
  </si>
  <si>
    <t>Depreciable Capital Assets:</t>
  </si>
  <si>
    <t>Buildings</t>
  </si>
  <si>
    <t>Equipment</t>
  </si>
  <si>
    <t xml:space="preserve">   Total Capital Assets being Depreciated</t>
  </si>
  <si>
    <t>Less Accumulated Depreciation for:</t>
  </si>
  <si>
    <t>Component Unit E-mail Address:</t>
  </si>
  <si>
    <r>
      <t xml:space="preserve">Extraordinary Items </t>
    </r>
    <r>
      <rPr>
        <sz val="9"/>
        <rFont val="Times New Roman"/>
        <family val="1"/>
      </rPr>
      <t>(include description)</t>
    </r>
  </si>
  <si>
    <t xml:space="preserve"> Cash held with the Treasurer of Virginia (GLA 101)</t>
  </si>
  <si>
    <t xml:space="preserve"> Cash not with the Treasurer of Virginia</t>
  </si>
  <si>
    <t xml:space="preserve"> Local Government Investment Pool - Cash Equivalents</t>
  </si>
  <si>
    <t xml:space="preserve"> State Non-Arbitrage Program (SNAP) Pool Funds </t>
  </si>
  <si>
    <t xml:space="preserve"> SNAP Individual Portfolio - Cash Equivalents</t>
  </si>
  <si>
    <t xml:space="preserve"> Cash Equivalents with the Treasurer of Virginia (excludes SNAP &amp; LGIP)</t>
  </si>
  <si>
    <t xml:space="preserve"> Cash Equivalents not with the Treasurer of Virginia (excludes SNAP)</t>
  </si>
  <si>
    <t xml:space="preserve"> SNAP Individual Portfolio - Investments</t>
  </si>
  <si>
    <t xml:space="preserve"> Local Government Investment Pool - Investments</t>
  </si>
  <si>
    <t xml:space="preserve"> Investments with the Treasurer of Virginia (excludes SNAP &amp; LGIP)</t>
  </si>
  <si>
    <t xml:space="preserve"> Investments not with the Treasurer of Virginia (excludes SNAP)</t>
  </si>
  <si>
    <t>Interest Receivable</t>
  </si>
  <si>
    <t xml:space="preserve">  Interest Receivable</t>
  </si>
  <si>
    <t>Nonexpendable</t>
  </si>
  <si>
    <t>Virginia Housing Development Authority</t>
  </si>
  <si>
    <t>Virginia Public School Authority</t>
  </si>
  <si>
    <t>Virginia Museum of Fine Arts Foundation</t>
  </si>
  <si>
    <t>Net Investment in Capital Assets</t>
  </si>
  <si>
    <t>Total Net Investment in Capital Assets</t>
  </si>
  <si>
    <r>
      <t>Note</t>
    </r>
    <r>
      <rPr>
        <b/>
        <sz val="8"/>
        <color indexed="10"/>
        <rFont val="Times New Roman"/>
        <family val="1"/>
      </rPr>
      <t>:  Only complete this spreadsheet if beginning net position amounts have been restated.</t>
    </r>
  </si>
  <si>
    <t>Ending Net Position Balance per Prior Year's Submission</t>
  </si>
  <si>
    <t>Total Beginning Net Position Balance per Current Year's Financial Statement Template</t>
  </si>
  <si>
    <t>Statement of Net Position Template Line Item</t>
  </si>
  <si>
    <t>Due Greater than One Year</t>
  </si>
  <si>
    <t>Capital assets purchased under capital leases as of June 30:</t>
  </si>
  <si>
    <t xml:space="preserve">         Part 9)  </t>
  </si>
  <si>
    <t>Statement of Net Position</t>
  </si>
  <si>
    <t xml:space="preserve">Deferred Outflows of Resources </t>
  </si>
  <si>
    <t>Total Assets and Deferred Outflows Resources</t>
  </si>
  <si>
    <t xml:space="preserve">Deferred Inflows </t>
  </si>
  <si>
    <t xml:space="preserve">Total Liabilities and Deferred Inflows </t>
  </si>
  <si>
    <t>Net Position</t>
  </si>
  <si>
    <t>TOTAL NET POSITION</t>
  </si>
  <si>
    <t>Change in Net Position</t>
  </si>
  <si>
    <t>Net Position, Beginning</t>
  </si>
  <si>
    <t>Net Position, Ending</t>
  </si>
  <si>
    <t>Beginning Net Position Balances</t>
  </si>
  <si>
    <t>Accounts  Receivable, net</t>
  </si>
  <si>
    <t>Loans Receivable, net</t>
  </si>
  <si>
    <t>Accounts Receivable, net</t>
  </si>
  <si>
    <t>Deferred Inflows of Resources</t>
  </si>
  <si>
    <t>Total Liabilities and Deferred Inflows of Resources</t>
  </si>
  <si>
    <t>Per FST (Linked)</t>
  </si>
  <si>
    <t>Answer Required</t>
  </si>
  <si>
    <t>Accounts &amp; Retainage Payable to be paid with unspent proceeds on debt related to capital assets 
(enter as a negative)</t>
  </si>
  <si>
    <t>Deferred inflows of resources attributable to the acquisition, construction, or improvement of capital assets or debt related to capital assets  - provide description 
(enter as a negative):</t>
  </si>
  <si>
    <t>Other -  Provide descriptions (enter as a positive or negative):</t>
  </si>
  <si>
    <r>
      <t>Purpose</t>
    </r>
    <r>
      <rPr>
        <sz val="9"/>
        <rFont val="Times New Roman"/>
        <family val="1"/>
      </rPr>
      <t>:  This tab is to help ensure completeness of this attachment.  After the attachment is completed please answer the following questions.</t>
    </r>
  </si>
  <si>
    <t>1)</t>
  </si>
  <si>
    <t>There should be no "Error" messages or cells with "Answer Required".  Have you reviewed the submission and removed all Error messages and answered all questions?  If not, investigate and make corrections as deemed necessary.</t>
  </si>
  <si>
    <t>2)</t>
  </si>
  <si>
    <r>
      <t>Reasonableness</t>
    </r>
    <r>
      <rPr>
        <sz val="10"/>
        <rFont val="Times New Roman"/>
        <family val="1"/>
      </rPr>
      <t>:  Do amounts appear reasonable?  Some indications of unreasonable amounts are as follows:</t>
    </r>
  </si>
  <si>
    <t xml:space="preserve">a)  There are negative amounts for line items that should not be negative.  </t>
  </si>
  <si>
    <t>b) Significant fluctuations on the attachment between prior year and current year amounts may be an indication of amounts being reported on the incorrect line item.</t>
  </si>
  <si>
    <t>3)</t>
  </si>
  <si>
    <r>
      <t>Net Investment in Capital Assets</t>
    </r>
    <r>
      <rPr>
        <sz val="10"/>
        <rFont val="Times New Roman"/>
        <family val="1"/>
      </rPr>
      <t xml:space="preserve">:  Are these amounts properly calculated and reported?  </t>
    </r>
  </si>
  <si>
    <t>4)</t>
  </si>
  <si>
    <r>
      <t>Descriptions</t>
    </r>
    <r>
      <rPr>
        <sz val="10"/>
        <rFont val="Times New Roman"/>
        <family val="1"/>
      </rPr>
      <t>:  For any extraordinary or special items, has a description been provided?  See descriptions below to determine if appropriate.</t>
    </r>
  </si>
  <si>
    <r>
      <t>Extraordinary items</t>
    </r>
    <r>
      <rPr>
        <sz val="10"/>
        <rFont val="Times New Roman"/>
        <family val="1"/>
      </rPr>
      <t xml:space="preserve"> are defined as transactions/events that are both unusual in nature and infrequent in occurrence.  </t>
    </r>
  </si>
  <si>
    <r>
      <t>Special items</t>
    </r>
    <r>
      <rPr>
        <sz val="10"/>
        <rFont val="Times New Roman"/>
        <family val="1"/>
      </rPr>
      <t xml:space="preserve"> are defined as significant transactions/events within the control of management that are either unusual in nature or infrequent in occurrence.</t>
    </r>
  </si>
  <si>
    <t>5)</t>
  </si>
  <si>
    <r>
      <t>"Other" Line Items</t>
    </r>
    <r>
      <rPr>
        <sz val="10"/>
        <rFont val="Times New Roman"/>
        <family val="1"/>
      </rPr>
      <t>:  Are amounts reported on "Other" line items reasonable and has a description been provided?</t>
    </r>
  </si>
  <si>
    <t>6)</t>
  </si>
  <si>
    <t>7)</t>
  </si>
  <si>
    <t>Foundations</t>
  </si>
  <si>
    <t>Mutual and Money Market Funds</t>
  </si>
  <si>
    <t xml:space="preserve">  Construction-in-Progress (CIP)</t>
  </si>
  <si>
    <t>Patents/Trademarks/Copyrights</t>
  </si>
  <si>
    <t>Part 3) Works of Art/Historical Treasures</t>
  </si>
  <si>
    <r>
      <t xml:space="preserve">Note: </t>
    </r>
    <r>
      <rPr>
        <sz val="9"/>
        <rFont val="Times New Roman"/>
        <family val="1"/>
      </rPr>
      <t xml:space="preserve"> If you discover an "Error" message on any tab that cannot be corrected because of a formula error or you cannot determine why there is an "Error" message, contact DOA.</t>
    </r>
  </si>
  <si>
    <t>Does the entity have any subleases?  If yes, DOA will request additional information in a separate communication.</t>
  </si>
  <si>
    <t>OFFICE OF THE STATE INSPECTOR GENERAL</t>
  </si>
  <si>
    <t>SECRETARY OF VETERANS AND DEFENSE AFFAIRS</t>
  </si>
  <si>
    <t>VIRGINIA HEALTH WORKFORCE DEVELOPMENT AUTHORITY</t>
  </si>
  <si>
    <t>VIRGINIA FOUNDATION FOR HEALTHY YOUTH</t>
  </si>
  <si>
    <t>Tab 8</t>
  </si>
  <si>
    <r>
      <t>Unamortized Bond Issuance Expense</t>
    </r>
    <r>
      <rPr>
        <sz val="9"/>
        <rFont val="Times New Roman"/>
        <family val="1"/>
      </rPr>
      <t>* See Note Below</t>
    </r>
  </si>
  <si>
    <r>
      <rPr>
        <b/>
        <sz val="9"/>
        <rFont val="Times New Roman"/>
        <family val="1"/>
      </rPr>
      <t>*</t>
    </r>
    <r>
      <rPr>
        <b/>
        <u/>
        <sz val="9"/>
        <rFont val="Times New Roman"/>
        <family val="1"/>
      </rPr>
      <t>Note</t>
    </r>
    <r>
      <rPr>
        <b/>
        <sz val="9"/>
        <rFont val="Times New Roman"/>
        <family val="1"/>
      </rPr>
      <t xml:space="preserve">: </t>
    </r>
    <r>
      <rPr>
        <sz val="9"/>
        <rFont val="Times New Roman"/>
        <family val="1"/>
      </rPr>
      <t xml:space="preserve"> The Unamortized Bond Issuance Expense line item has been removed.  </t>
    </r>
    <r>
      <rPr>
        <u/>
        <sz val="9"/>
        <rFont val="Times New Roman"/>
        <family val="1"/>
      </rPr>
      <t>GASBS No. 65</t>
    </r>
    <r>
      <rPr>
        <sz val="9"/>
        <rFont val="Times New Roman"/>
        <family val="1"/>
      </rPr>
      <t xml:space="preserve"> requires debt issuance costs, excluding prepaid insurance, to be expensed.   The prior year amounts shown for the "Other Assets" line item include the prior year amounts reported in last year's Attachment CU-4 for "Other Assets" plus "Unamortized Bond Issuance Expense."</t>
    </r>
  </si>
  <si>
    <t>Corporate Bonds and Notes</t>
  </si>
  <si>
    <t>Certification</t>
  </si>
  <si>
    <t>Amounts, Net of Allowance for Doubtful Accounts:</t>
  </si>
  <si>
    <t>Total Short-term Debt</t>
  </si>
  <si>
    <r>
      <t xml:space="preserve">Certification: </t>
    </r>
    <r>
      <rPr>
        <sz val="10"/>
        <color theme="1"/>
        <rFont val="Times New Roman"/>
        <family val="1"/>
      </rPr>
      <t>Do you certify that you read and understood the instructions for completing this attachment and that (if you are the reviewer) it has been reviewed and is complete and accurate?</t>
    </r>
    <r>
      <rPr>
        <b/>
        <sz val="10"/>
        <color theme="1"/>
        <rFont val="Times New Roman"/>
        <family val="1"/>
      </rPr>
      <t xml:space="preserve">
</t>
    </r>
  </si>
  <si>
    <t>For differences, provide explanation for the restatement.  (Explanation should specify any restatements.)</t>
  </si>
  <si>
    <r>
      <t xml:space="preserve">If the component unit participates in a retirement plan </t>
    </r>
    <r>
      <rPr>
        <b/>
        <sz val="8"/>
        <rFont val="Times New Roman"/>
        <family val="1"/>
      </rPr>
      <t>other</t>
    </r>
    <r>
      <rPr>
        <sz val="8"/>
        <rFont val="Times New Roman"/>
        <family val="1"/>
      </rPr>
      <t xml:space="preserve"> than the Virginia Retirement System (VRS) or a deferred compensation plan other than the Commonwealth's please describe below and provide all applicable footnote information.  Ensure the information provided is in accordance with </t>
    </r>
    <r>
      <rPr>
        <b/>
        <u/>
        <sz val="8"/>
        <rFont val="Times New Roman"/>
        <family val="1"/>
      </rPr>
      <t>GASBS Nos. 25 &amp; 27</t>
    </r>
    <r>
      <rPr>
        <sz val="8"/>
        <rFont val="Times New Roman"/>
        <family val="1"/>
      </rPr>
      <t xml:space="preserve"> as amended by </t>
    </r>
    <r>
      <rPr>
        <b/>
        <u/>
        <sz val="8"/>
        <rFont val="Times New Roman"/>
        <family val="1"/>
      </rPr>
      <t>GASBS Nos. 50, 67, 68 and 71</t>
    </r>
    <r>
      <rPr>
        <sz val="8"/>
        <rFont val="Times New Roman"/>
        <family val="1"/>
      </rPr>
      <t xml:space="preserve">.  
</t>
    </r>
    <r>
      <rPr>
        <b/>
        <u/>
        <sz val="8"/>
        <rFont val="Times New Roman"/>
        <family val="1"/>
      </rPr>
      <t>Note</t>
    </r>
    <r>
      <rPr>
        <b/>
        <sz val="8"/>
        <rFont val="Times New Roman"/>
        <family val="1"/>
      </rPr>
      <t>:</t>
    </r>
    <r>
      <rPr>
        <sz val="8"/>
        <rFont val="Times New Roman"/>
        <family val="1"/>
      </rPr>
      <t xml:space="preserve"> DOA may need to contact the component unit to receive additional information.</t>
    </r>
  </si>
  <si>
    <t>Restricted Cash Equivalents not with the Treasurer of Virginia (exclude SNAP)</t>
  </si>
  <si>
    <t>Restricted Investments not with the Treasurer of Virginia (exclude SNAP)</t>
  </si>
  <si>
    <t xml:space="preserve"> Investments not with the Treasurer of Virginia (exclude SNAP)</t>
  </si>
  <si>
    <t xml:space="preserve"> Cash Equivalents with the Treasurer of Virginia (exclude SNAP &amp; LGIP)</t>
  </si>
  <si>
    <t xml:space="preserve"> Cash Equivalents not with the Treasurer of Virginia (exclude SNAP)</t>
  </si>
  <si>
    <t>Sub Total Other</t>
  </si>
  <si>
    <r>
      <t xml:space="preserve">If </t>
    </r>
    <r>
      <rPr>
        <b/>
        <sz val="8"/>
        <rFont val="Times New Roman"/>
        <family val="1"/>
      </rPr>
      <t>yes</t>
    </r>
    <r>
      <rPr>
        <sz val="8"/>
        <rFont val="Times New Roman"/>
        <family val="1"/>
      </rPr>
      <t xml:space="preserve"> - Complete the schedule below.</t>
    </r>
  </si>
  <si>
    <t>I certify that the questions in this attachment have been completed and are accurate.</t>
  </si>
  <si>
    <t>I certify that the questions in this attachment have been completed and are reviewed.</t>
  </si>
  <si>
    <t xml:space="preserve">Yes, No, or N/A </t>
  </si>
  <si>
    <t>Is a Fluctuation Explanation Required?</t>
  </si>
  <si>
    <t>CHECK FIGURES</t>
  </si>
  <si>
    <t xml:space="preserve">Total Assets </t>
  </si>
  <si>
    <t xml:space="preserve">Hedge Funds </t>
  </si>
  <si>
    <t xml:space="preserve">Partnerships </t>
  </si>
  <si>
    <t>Venture Capital</t>
  </si>
  <si>
    <t>The discount rate used to determine present value ranges</t>
  </si>
  <si>
    <t>From</t>
  </si>
  <si>
    <t>To</t>
  </si>
  <si>
    <t xml:space="preserve">  Intangible Assets </t>
  </si>
  <si>
    <t>Virginia Port Authority including Virginia International Terminals, Inc.</t>
  </si>
  <si>
    <t>AUDITOR OF PUBLIC ACCOUNTS</t>
  </si>
  <si>
    <t>ADMINISTRATION OF HEALTH INSURANCE</t>
  </si>
  <si>
    <t>CHRISTOPHER NEWPORT UNIVERSITY</t>
  </si>
  <si>
    <t>BLUE RIDGE COMMUNITY COLLEGE</t>
  </si>
  <si>
    <t>CENTRAL VIRGINIA COMMUNITY COLLEGE</t>
  </si>
  <si>
    <t>ASSISTIVE TECHNOLOGY LOAN FUND AUTHORITY</t>
  </si>
  <si>
    <t>LIEUTENANT GOVERNOR</t>
  </si>
  <si>
    <r>
      <t xml:space="preserve">If the component unit participates in other postemployment benefits not managed by the Commonwealth please describe below and provide all applicable footnote information.  Ensure the information provided is in accordance with </t>
    </r>
    <r>
      <rPr>
        <b/>
        <u/>
        <sz val="8"/>
        <rFont val="Times New Roman"/>
        <family val="1"/>
      </rPr>
      <t>GASBS Nos. 43 &amp; 45</t>
    </r>
    <r>
      <rPr>
        <sz val="8"/>
        <rFont val="Times New Roman"/>
        <family val="1"/>
      </rPr>
      <t xml:space="preserve">.
</t>
    </r>
    <r>
      <rPr>
        <b/>
        <u/>
        <sz val="8"/>
        <rFont val="Times New Roman"/>
        <family val="1"/>
      </rPr>
      <t>Note</t>
    </r>
    <r>
      <rPr>
        <b/>
        <sz val="8"/>
        <rFont val="Times New Roman"/>
        <family val="1"/>
      </rPr>
      <t>:</t>
    </r>
    <r>
      <rPr>
        <sz val="8"/>
        <rFont val="Times New Roman"/>
        <family val="1"/>
      </rPr>
      <t xml:space="preserve"> DOA may need to contact the component unit to receive additional information. The State Postemployment Benefits are the 1) defined benefit pension plan, 2) the Commonwealth's Health Insurance Credit (HIC) program where benefits are provided to retired employees based on years of service credit or towards their monthly health insurance premiums, 3) the Commonwealth's Pre-Medicare Retiree Healthcare program where the Commonwealth provides a group healthcare plan to retired employees who are not yet eligible to participate in Medicare, 4) the Commonwealth's Group Life Insurance Program where the Commonwealth provides postemployment group life insurance benefits to eligible retired employees, or 5) the Commonwealth's Disability Insurance Trust Fund program where the Commonwealth provides disability insurance benefits to eligible retired state employees.</t>
    </r>
  </si>
  <si>
    <r>
      <t xml:space="preserve">Deferred outflows of resources attributable to the acquisition, construction, or improvement of capital assets or debt related to capital assets </t>
    </r>
    <r>
      <rPr>
        <b/>
        <sz val="10"/>
        <rFont val="Times New Roman"/>
        <family val="1"/>
      </rPr>
      <t xml:space="preserve"> - </t>
    </r>
    <r>
      <rPr>
        <sz val="10"/>
        <rFont val="Times New Roman"/>
        <family val="1"/>
      </rPr>
      <t>provide description 
(enter as a positive)</t>
    </r>
  </si>
  <si>
    <t>Virginia Biotechnology Research Partnership Authority including Virginia Biotechnology Research Park Corporation</t>
  </si>
  <si>
    <t>Virginia Solar Energy Development Authority</t>
  </si>
  <si>
    <r>
      <t xml:space="preserve">
Depreciable capital assets are depreciated on the straight-line basis over their useful lives.  Capital assets are stated at historical cost, or in some instances, estimated historical cost.  Donated capital assets received prior to fiscal year 2016 are stated at fair market value at the time of donation.  </t>
    </r>
    <r>
      <rPr>
        <b/>
        <u/>
        <sz val="8"/>
        <rFont val="Times New Roman"/>
        <family val="1"/>
      </rPr>
      <t>GASBS No. 72</t>
    </r>
    <r>
      <rPr>
        <sz val="8"/>
        <rFont val="Times New Roman"/>
        <family val="1"/>
      </rPr>
      <t xml:space="preserve">, </t>
    </r>
    <r>
      <rPr>
        <i/>
        <sz val="8"/>
        <rFont val="Times New Roman"/>
        <family val="1"/>
      </rPr>
      <t>Fair Value Measurement and Application</t>
    </r>
    <r>
      <rPr>
        <sz val="8"/>
        <rFont val="Times New Roman"/>
        <family val="1"/>
      </rPr>
      <t xml:space="preserve">, is effective starting in fiscal year 2016  and requires the following types of items received during fiscal year 2016 and later to be reported at acquisition value:  donated capital assets,  donated works of art, historical treasures, and similar assets, and capital assets received in a service concession arrangement.
</t>
    </r>
    <r>
      <rPr>
        <b/>
        <u/>
        <sz val="8"/>
        <rFont val="Times New Roman"/>
        <family val="1"/>
      </rPr>
      <t>GASBS No. 72</t>
    </r>
    <r>
      <rPr>
        <sz val="8"/>
        <rFont val="Times New Roman"/>
        <family val="1"/>
      </rPr>
      <t xml:space="preserve"> did not amend </t>
    </r>
    <r>
      <rPr>
        <b/>
        <u/>
        <sz val="8"/>
        <rFont val="Times New Roman"/>
        <family val="1"/>
      </rPr>
      <t>GASBS No. 48</t>
    </r>
    <r>
      <rPr>
        <sz val="8"/>
        <rFont val="Times New Roman"/>
        <family val="1"/>
      </rPr>
      <t xml:space="preserve">: </t>
    </r>
    <r>
      <rPr>
        <i/>
        <sz val="8"/>
        <rFont val="Times New Roman"/>
        <family val="1"/>
      </rPr>
      <t xml:space="preserve">Sales and Pledges of Receivables and Future Revenues and Intra-Entity Transfers of Assets and Future Revenues, </t>
    </r>
    <r>
      <rPr>
        <sz val="8"/>
        <rFont val="Times New Roman"/>
        <family val="1"/>
      </rPr>
      <t xml:space="preserve">and requires that donated, purchased, or transferred capital assets between entities of the Commonwealth are now considered intra-entity transfers.  Therefore, the transfer of capital assets should occur at the carrying value of the transfer.  The easiest way for accomplishing the transfer is to have the acquiring entity record the asset at its original historical cost and acquisition date.  
Interest incurred during the construction of capital assets is included in the capitalized value of the assets.  Expenditures are classified as construction-in-progress if:  1) they extend the asset life, improve productivity, or improve the quality of service; and 2) they fall into the planning, acquisition, construction, improvement, renovation, repair, replacement, relocation or demolition phase of the asset life. </t>
    </r>
    <r>
      <rPr>
        <b/>
        <u/>
        <sz val="8"/>
        <rFont val="Times New Roman"/>
        <family val="1"/>
      </rPr>
      <t>Note</t>
    </r>
    <r>
      <rPr>
        <b/>
        <sz val="8"/>
        <rFont val="Times New Roman"/>
        <family val="1"/>
      </rPr>
      <t>:</t>
    </r>
    <r>
      <rPr>
        <sz val="8"/>
        <rFont val="Times New Roman"/>
        <family val="1"/>
      </rPr>
      <t xml:space="preserve">  Construction-in-progress also includes expenses for the construction/development of internally generated intangible assets until substantially complete and operational and they are reclassified to the appropriate intangible asset FST line item. </t>
    </r>
  </si>
  <si>
    <t>Tab 1A - Detail Fdn</t>
  </si>
  <si>
    <r>
      <t xml:space="preserve">Bonds Payable (Part 2) </t>
    </r>
    <r>
      <rPr>
        <b/>
        <sz val="8"/>
        <color indexed="8"/>
        <rFont val="Times New Roman"/>
        <family val="1"/>
      </rPr>
      <t>(Note A)</t>
    </r>
  </si>
  <si>
    <t>DEPARTMENT OF ELECTIONS</t>
  </si>
  <si>
    <t>TOBACCO REGION REVITALIZATION COMMISSION</t>
  </si>
  <si>
    <t>VIRGINIA PORT AUTHORITY</t>
  </si>
  <si>
    <t>VIRGINIA LOTTERY</t>
  </si>
  <si>
    <t>WILSON WORKFORCE AND REHABILITATION CENTER</t>
  </si>
  <si>
    <t xml:space="preserve">Differences (provide explanations below) </t>
  </si>
  <si>
    <t>COMMISSION ON THE VIRGINIA ALCOHOL SAFETY ACTION PROGRAM</t>
  </si>
  <si>
    <t>Note:  Please do not include any amounts that are reported on the Component Unit Template tab.</t>
  </si>
  <si>
    <r>
      <t>(</t>
    </r>
    <r>
      <rPr>
        <b/>
        <u/>
        <sz val="10"/>
        <rFont val="Times New Roman"/>
        <family val="1"/>
      </rPr>
      <t>Note</t>
    </r>
    <r>
      <rPr>
        <sz val="10"/>
        <rFont val="Times New Roman"/>
        <family val="1"/>
      </rPr>
      <t xml:space="preserve">:  There should be a segregation of duties; therefore, the preparer and the reviewer should not be the same.  By typing your names below you certify that the preparer and reviewer were not the same and you have read and understood the instructions for completing this attachment.)
</t>
    </r>
  </si>
  <si>
    <t>Tab 4a</t>
  </si>
  <si>
    <t xml:space="preserve"> Cash held with the Treasurer of Virginia (Account 101010)</t>
  </si>
  <si>
    <t>Restricted Cash held with the Treasurer of Virginia (Account 101010)</t>
  </si>
  <si>
    <t>Total cash held by the Treasurer of Virginia (must agree to Cardinal Account 101010)</t>
  </si>
  <si>
    <t>Other* -  Provide descriptions:</t>
  </si>
  <si>
    <t xml:space="preserve">                                              This amount MUST also agree to the total reported amount in the tab entitled "Tab 1B-Cash Eq. &amp; Inv. Not w Tr"</t>
  </si>
  <si>
    <t>Were any amounts reported at cost rather than fair value?</t>
  </si>
  <si>
    <t>Tab 1A, Part 10c</t>
  </si>
  <si>
    <t>Tab 1A, Part 8c</t>
  </si>
  <si>
    <r>
      <rPr>
        <b/>
        <u/>
        <sz val="10"/>
        <rFont val="Times New Roman"/>
        <family val="1"/>
      </rPr>
      <t>Restricted</t>
    </r>
    <r>
      <rPr>
        <sz val="10"/>
        <rFont val="Times New Roman"/>
        <family val="1"/>
      </rPr>
      <t xml:space="preserve"> cash not held by the Treasurer of Virginia:</t>
    </r>
  </si>
  <si>
    <r>
      <rPr>
        <b/>
        <u/>
        <sz val="10"/>
        <rFont val="Times New Roman"/>
        <family val="1"/>
      </rPr>
      <t>Unrestricted</t>
    </r>
    <r>
      <rPr>
        <sz val="10"/>
        <rFont val="Times New Roman"/>
        <family val="1"/>
      </rPr>
      <t xml:space="preserve"> cash not held by the Treasurer of Virginia (DO NOT include </t>
    </r>
    <r>
      <rPr>
        <b/>
        <sz val="10"/>
        <rFont val="Times New Roman"/>
        <family val="1"/>
      </rPr>
      <t>restricted</t>
    </r>
    <r>
      <rPr>
        <sz val="10"/>
        <rFont val="Times New Roman"/>
        <family val="1"/>
      </rPr>
      <t xml:space="preserve"> cash):</t>
    </r>
  </si>
  <si>
    <t xml:space="preserve">List the fair value of cash equivalents and investments NOT held with the Treasurer of Virginia and SNAP Individual Portfolio (including restricted/unrestricted cash equivalents, investments, and SNAP Individual Portfolio).  Additionally, answer if any amounts were reported at cost rather than fair value because fair value was not readily available or easily determinable.
</t>
  </si>
  <si>
    <t>Type</t>
  </si>
  <si>
    <t>Cash Equivalents
(90 Days or Less)</t>
  </si>
  <si>
    <t>Investments
(Greater Than 90 Days)</t>
  </si>
  <si>
    <t>Investment Category</t>
  </si>
  <si>
    <t>Reported Amount</t>
  </si>
  <si>
    <t>Entity</t>
  </si>
  <si>
    <t>Explanation</t>
  </si>
  <si>
    <t>Does the amount reported agree to the entity's SNAP statements?</t>
  </si>
  <si>
    <t>Due from Primary Government (include description)</t>
  </si>
  <si>
    <t>Due from Component Units (include description)</t>
  </si>
  <si>
    <t>Due to Component Units (include description)</t>
  </si>
  <si>
    <t>Primary Government Agency Name
Amount is Due From</t>
  </si>
  <si>
    <t>Primary Government Agency Name
Amount is Due To</t>
  </si>
  <si>
    <r>
      <rPr>
        <b/>
        <sz val="10"/>
        <rFont val="Times New Roman"/>
        <family val="1"/>
      </rPr>
      <t>Reporting</t>
    </r>
    <r>
      <rPr>
        <sz val="10"/>
        <rFont val="Times New Roman"/>
        <family val="1"/>
      </rPr>
      <t>:  Do you certify that all items were properly reported in accordance with all applicable financial reporting standards?</t>
    </r>
  </si>
  <si>
    <t>Has the entity followed the appropriate FASB reporting requirements regarding capital asset capitalization?</t>
  </si>
  <si>
    <t>Note A:   If any of these bonds represent demand bonds and/or callable bonds because of a debt violation that must be reported as a current liability, report on the applicable "due within one year"  Component Unit Template line item.    Refer to applicable FASB reporting requirements for guidance.</t>
  </si>
  <si>
    <t>Please provide explanations for all line items that require a fluctuation analysis.</t>
  </si>
  <si>
    <t>Acronyms:   SNP - Statement of Net Position, SA - Statement of Activities</t>
  </si>
  <si>
    <t>SNP or SA</t>
  </si>
  <si>
    <t>Component Unit Template Line Item</t>
  </si>
  <si>
    <t>$ Fluctuation</t>
  </si>
  <si>
    <t>% Fluctuation</t>
  </si>
  <si>
    <t xml:space="preserve">Explanation </t>
  </si>
  <si>
    <t>SNP</t>
  </si>
  <si>
    <t>Restricted for: Nonexpendable</t>
  </si>
  <si>
    <t>Restricted for: Virginia Pooled Investment Program</t>
  </si>
  <si>
    <t>Restricted for: Gifts and Grants</t>
  </si>
  <si>
    <t>Restricted for: Debt Service</t>
  </si>
  <si>
    <t>Restricted for: Bond Indenture</t>
  </si>
  <si>
    <t>SA</t>
  </si>
  <si>
    <t>Other Receivable, net (include description)</t>
  </si>
  <si>
    <t>Assets:</t>
  </si>
  <si>
    <t>Liabilities:</t>
  </si>
  <si>
    <t>Program Revenues:</t>
  </si>
  <si>
    <t>Program Expenses:</t>
  </si>
  <si>
    <t>General Revenues:</t>
  </si>
  <si>
    <t>Template Flux</t>
  </si>
  <si>
    <t xml:space="preserve">  Loans/Mortgage Receivable</t>
  </si>
  <si>
    <t xml:space="preserve">  Inexhaustible Works of Art/Historical Treasures</t>
  </si>
  <si>
    <r>
      <t xml:space="preserve">a. </t>
    </r>
    <r>
      <rPr>
        <b/>
        <sz val="10"/>
        <rFont val="Times New Roman"/>
        <family val="1"/>
      </rPr>
      <t xml:space="preserve"> Unrestricted Cash Equivalents held with Treasurer of VA (excludes LGIP &amp; SNAP):</t>
    </r>
  </si>
  <si>
    <t xml:space="preserve">Provide the amount in Part 2b above that is in excess of the FDIC insurance coverage limit of $250,000.  </t>
  </si>
  <si>
    <t xml:space="preserve">Provide the amount in Part 4b above that is in excess of the FDIC insurance coverage limit of $250,000.   </t>
  </si>
  <si>
    <t>Cash Equivalents and Investments Not held with the Treasurer of VA and SNAP Individual Portfolio :</t>
  </si>
  <si>
    <r>
      <t xml:space="preserve">a.  For the </t>
    </r>
    <r>
      <rPr>
        <b/>
        <sz val="10"/>
        <rFont val="Times New Roman"/>
        <family val="1"/>
      </rPr>
      <t>Unrestricted LGIP / LGIP EM</t>
    </r>
    <r>
      <rPr>
        <sz val="10"/>
        <rFont val="Times New Roman"/>
        <family val="1"/>
      </rPr>
      <t>, provide the following:</t>
    </r>
  </si>
  <si>
    <t>Enter LGIP / LGIP EM amount 
into the applicable column.</t>
  </si>
  <si>
    <t>LGIP Amount</t>
  </si>
  <si>
    <t>LGIP EM Amount</t>
  </si>
  <si>
    <r>
      <t xml:space="preserve">b.  For the </t>
    </r>
    <r>
      <rPr>
        <b/>
        <sz val="10"/>
        <rFont val="Times New Roman"/>
        <family val="1"/>
      </rPr>
      <t>Restricted LGIP / LGIP EM</t>
    </r>
    <r>
      <rPr>
        <sz val="10"/>
        <rFont val="Times New Roman"/>
        <family val="1"/>
      </rPr>
      <t>, provide the following:</t>
    </r>
  </si>
  <si>
    <t>b) Does the information on Tab 1B-Cash Eq. &amp; Inv. Not w Tr agree to the entity's individually published financial statements, if applicable?</t>
  </si>
  <si>
    <t>LGIP EM</t>
  </si>
  <si>
    <t>Restricted LGIP EM</t>
  </si>
  <si>
    <t>Total cash not held with the Treasurer of Virginia that agrees to financial statements (sum of Part 2a and 4a above).</t>
  </si>
  <si>
    <t>Total bank balance for cash not held with the Treasurer of Virginia (sum of Part 2b and 4b above).</t>
  </si>
  <si>
    <t>Net Pension Liability</t>
  </si>
  <si>
    <t>Include short-term debt that is related to capital assets (enter as negative)</t>
  </si>
  <si>
    <t>Due to Primary Government (include description)</t>
  </si>
  <si>
    <t>VIRGINIA SOLAR ENERGY DEVELOPMENT AND ENERGY STORAGE AUTHORITY</t>
  </si>
  <si>
    <t>Balance 
July 1, 2018 (linked)</t>
  </si>
  <si>
    <t>2030-2034</t>
  </si>
  <si>
    <t>2035-2039</t>
  </si>
  <si>
    <t>2040-2044</t>
  </si>
  <si>
    <t>2045-2049</t>
  </si>
  <si>
    <t>2050-2054</t>
  </si>
  <si>
    <t>2055-2059</t>
  </si>
  <si>
    <t>2060-2064</t>
  </si>
  <si>
    <t>2065-2069</t>
  </si>
  <si>
    <t>2070-2074</t>
  </si>
  <si>
    <t>2075-2079</t>
  </si>
  <si>
    <t>2080-2084</t>
  </si>
  <si>
    <t>Net Other Postemployment Benefit-VSDP</t>
  </si>
  <si>
    <t>Total Other Postemployment Benefits (OPEB) / Net OPEB Liabilities (Part 7)</t>
  </si>
  <si>
    <t>Restricted for: Net Other Postemployment Benefit-VSDP</t>
  </si>
  <si>
    <t>SENATE OF VIRGINIA</t>
  </si>
  <si>
    <t>VIRGINIA COMMISSION ON INTERGOVERNMENTAL COOPERATION</t>
  </si>
  <si>
    <t>DIVISION OF LEGISLATIVE AUTOMATED SYSTEMS</t>
  </si>
  <si>
    <t>JOINT LEGISLATIVE AUDIT AND REVIEW COMMISSION</t>
  </si>
  <si>
    <t>ATTORNEY GENERAL AND DEPARTMENT OF LAW</t>
  </si>
  <si>
    <t>VIRGINIA STATE CRIME COMMISSION</t>
  </si>
  <si>
    <t>DIVISION OF DEBT COLLECTION</t>
  </si>
  <si>
    <t>VIRGINIA MANAGEMENT FELLOWS PROGRAM ADMINISTRATION</t>
  </si>
  <si>
    <t>DEPARTMENT OF HOUSING AND COMMUNITY DEVELOPMENT</t>
  </si>
  <si>
    <t>VIRGINIA WORKERS' COMPENSATION COMMISSION</t>
  </si>
  <si>
    <t>DEPARTMENT OF EDUCATION-DIRECT AID TO PUBLIC EDUCATION</t>
  </si>
  <si>
    <t>DEPARTMENT OF CONSERVATION AND RECREATION</t>
  </si>
  <si>
    <t>CHILDREN'S SERVICES ACT</t>
  </si>
  <si>
    <t>DEPARTMENT OF EDUCATION, CENTRAL OFFICE OPERATIONS</t>
  </si>
  <si>
    <t>VIRGINIA SCHOOL FOR THE DEAF AND THE BLIND</t>
  </si>
  <si>
    <t>DEPARTMENT OF PROFESSIONAL AND OCCUPATIONAL REGULATION</t>
  </si>
  <si>
    <t>ONLINE VIRGINIA NETWORK AUTHORITY</t>
  </si>
  <si>
    <t>STATE COUNCIL OF HIGHER EDUCATION FOR VIRGINIA</t>
  </si>
  <si>
    <t>DEPARTMENT FOR AGING AND REHABILITATIVE SERVICES</t>
  </si>
  <si>
    <t>VIRGINIA REHABILITATION CENTER FOR THE BLIND AND VISION IMPAIRED</t>
  </si>
  <si>
    <t>DEPARTMENT OF AGRICULTURE AND CONSUMER SERVICES</t>
  </si>
  <si>
    <t>AGRICULTURAL COUNCIL</t>
  </si>
  <si>
    <t>ECONOMIC DEVELOPMENT INCENTIVE PAYMENTS</t>
  </si>
  <si>
    <t>DEPARTMENT OF SMALL BUSINESS AND SUPPLIER DIVERSITY</t>
  </si>
  <si>
    <t>DEPARTMENT OF RAIL AND PUBLIC TRANSPORTATION</t>
  </si>
  <si>
    <t>DEPARTMENT OF MEDICAL ASSISTANCE SERVICES</t>
  </si>
  <si>
    <t>VIRGINIA BOARD FOR PEOPLE WITH DISABILITIES</t>
  </si>
  <si>
    <t>DEPARTMENT OF CORRECTIONS--CENTRAL ADMINISTRATION</t>
  </si>
  <si>
    <t>DEPARTMENT FOR THE BLIND AND VISION IMPAIRED</t>
  </si>
  <si>
    <t>DEPARTMENT FOR THE DEAF AND HARD-OF-HEARING</t>
  </si>
  <si>
    <t>VIRGINIA FREEDOM OF INFORMATION ADVISORY COUNCIL</t>
  </si>
  <si>
    <t>CITIZENS' ADVISORY COUNCIL ON FURNISHING AND INTERPRETING THE EXECUTIVE MANSION</t>
  </si>
  <si>
    <t>DR. MARTIN LUTHER KING, JR. MEMORIAL COMMISSION</t>
  </si>
  <si>
    <t>JOINT COMMISSION ON TECHNOLOGY AND SCIENCE</t>
  </si>
  <si>
    <t>VIRGINIA WORLD WAR I AND WORLD WAR II COMMEMORATION COMMISSION</t>
  </si>
  <si>
    <t>VIRGINIA CONFLICT OF INTEREST AND ETHICS ADVISORY COUNCIL</t>
  </si>
  <si>
    <t>VETERANS SERVICES FOUNDATION</t>
  </si>
  <si>
    <t>SITTER &amp; BARFOOT VETERANS CARE CENTER</t>
  </si>
  <si>
    <t>CENTRAL CAPITAL OUTLAY</t>
  </si>
  <si>
    <t>COMMONWEALTH'S ATTORNEYS' SERVICES COUNCIL</t>
  </si>
  <si>
    <t>A. L. PHILPOTT MANUFACTURING EXTENSION PARTNERSHIP</t>
  </si>
  <si>
    <t>CENTER FOR RURAL VIRGINIA</t>
  </si>
  <si>
    <t>CHESAPEAKE BAY BRIDGE AND TUNNEL COMMISSION / DISTRICT</t>
  </si>
  <si>
    <t>JAMESTOWN-YORKTOWN EDUCATIONAL TRUST</t>
  </si>
  <si>
    <t>SCIENCE MUSEUM OF VIRGINIA FOUNDATION, INC.</t>
  </si>
  <si>
    <t>TOBACCO SETTLEMENT FINANCING CORPORATION</t>
  </si>
  <si>
    <t>VIRGINIA ALCOHOLIC BEVERAGE CONTROL AUTHORITY</t>
  </si>
  <si>
    <t>VIRGINIA BIOTECHNOLOGY RESEARCH PARTNERSHIP AUTHORITY</t>
  </si>
  <si>
    <t>VIRGINIA BIRTH-RELATED NEUROLOGICAL INJURY COMPENSATION PROGRAM</t>
  </si>
  <si>
    <t>VIRGINIA NUCLEAR ENERGY CONSORTIUM AUTHORITY</t>
  </si>
  <si>
    <t>VIRGINIA RECREATIONAL FACILITIES AUTHORITY (VA EXPLORE PARK)</t>
  </si>
  <si>
    <t>THE COLLEGE OF WILLIAM AND MARY IN VIRGINIA</t>
  </si>
  <si>
    <t>UNIVERSITY OF VIRGINIA</t>
  </si>
  <si>
    <t>SOUTHWEST VIRGINIA HIGHER EDUCATION CENTER</t>
  </si>
  <si>
    <t>VIRGINIA COOPERATIVE EXTENSION AND AGRICULTURAL EXPERIMENT STATION</t>
  </si>
  <si>
    <t>VIRGINIA COMMONWEALTH UNIVERSITY HEALTH SYSTEM AUTHORITY</t>
  </si>
  <si>
    <t>PAUL D. CAMP COMMUNITY COLLEGE</t>
  </si>
  <si>
    <t>SOUTHERN VIRGINIA HIGHER EDUCATION CENTER</t>
  </si>
  <si>
    <r>
      <t xml:space="preserve">(Refer to the Appendix 1 of instructions and the FDIC website at </t>
    </r>
    <r>
      <rPr>
        <u/>
        <sz val="10"/>
        <rFont val="Times New Roman"/>
        <family val="1"/>
      </rPr>
      <t>www.fdic.gov</t>
    </r>
    <r>
      <rPr>
        <sz val="10"/>
        <rFont val="Times New Roman"/>
        <family val="1"/>
      </rPr>
      <t xml:space="preserve"> for FDIC coverage information and definitions.)</t>
    </r>
  </si>
  <si>
    <r>
      <t xml:space="preserve">Total Cash Equivalent and Investment </t>
    </r>
    <r>
      <rPr>
        <b/>
        <sz val="10"/>
        <rFont val="Times New Roman"/>
        <family val="1"/>
      </rPr>
      <t>Not Held</t>
    </r>
    <r>
      <rPr>
        <sz val="10"/>
        <rFont val="Times New Roman"/>
        <family val="1"/>
      </rPr>
      <t xml:space="preserve"> With Treasurer and</t>
    </r>
    <r>
      <rPr>
        <b/>
        <sz val="10"/>
        <rFont val="Times New Roman"/>
        <family val="1"/>
      </rPr>
      <t xml:space="preserve"> </t>
    </r>
    <r>
      <rPr>
        <sz val="10"/>
        <rFont val="Times New Roman"/>
        <family val="1"/>
      </rPr>
      <t>SNAP Individual Portfolio</t>
    </r>
  </si>
  <si>
    <t>Does the amount reported agree to the entity's LGIP / LGIP EM statements?</t>
  </si>
  <si>
    <t>LGIP / LGIP EM 
Account #</t>
  </si>
  <si>
    <t>SNAP Individual Portfolio Account #</t>
  </si>
  <si>
    <t xml:space="preserve">    Portfolio - Cash Equivalents reported in Part 7 greater than the sum of 90 Days or Less on Tab 1B-Cash Eq. &amp; Inv. Not w Tr?</t>
  </si>
  <si>
    <t>Asset Backed Securities</t>
  </si>
  <si>
    <t>Agency Mortgage Backed</t>
  </si>
  <si>
    <t>Bankers' Acceptance</t>
  </si>
  <si>
    <t>Tab 1A, Part 11 &amp; Tab 1B</t>
  </si>
  <si>
    <t>Provide an explanation if the reported amount is negative.</t>
  </si>
  <si>
    <t>c)  Provide an explanation if the reported amount is negative.</t>
  </si>
  <si>
    <t>2060-2065</t>
  </si>
  <si>
    <t>2066-2069</t>
  </si>
  <si>
    <t>Loan/Mortgage Receivable, net</t>
  </si>
  <si>
    <t xml:space="preserve"> Investments with the Treasurer of Virginia (exclude SNAP)</t>
  </si>
  <si>
    <t>Restricted Cash Equivalents with the Treasurer of Virginia (exclude SNAP)</t>
  </si>
  <si>
    <t>Restricted Investments with the Treasurer of Virginia (exclude SNAP)</t>
  </si>
  <si>
    <t xml:space="preserve">  Receivable due within one year</t>
  </si>
  <si>
    <t xml:space="preserve">  Receivable due between one and five years</t>
  </si>
  <si>
    <t>(negative)</t>
  </si>
  <si>
    <t xml:space="preserve">  Receivable due in more than five years</t>
  </si>
  <si>
    <r>
      <t xml:space="preserve">  Less present value discount </t>
    </r>
    <r>
      <rPr>
        <b/>
        <sz val="8"/>
        <rFont val="Times New Roman"/>
        <family val="1"/>
      </rPr>
      <t>(negative)</t>
    </r>
  </si>
  <si>
    <t xml:space="preserve">  Less allowance for uncollectible contributions</t>
  </si>
  <si>
    <r>
      <t xml:space="preserve">Refer to the </t>
    </r>
    <r>
      <rPr>
        <b/>
        <u/>
        <sz val="8"/>
        <rFont val="Times New Roman"/>
        <family val="1"/>
      </rPr>
      <t>GASBS No. 48</t>
    </r>
    <r>
      <rPr>
        <sz val="8"/>
        <rFont val="Times New Roman"/>
        <family val="1"/>
      </rPr>
      <t xml:space="preserve"> Commonwealth of Virginia Intra-Entity Reporting List available on DOA’s website at www.doa.virginia.gov.</t>
    </r>
  </si>
  <si>
    <r>
      <t xml:space="preserve">c.  </t>
    </r>
    <r>
      <rPr>
        <b/>
        <sz val="10"/>
        <rFont val="Times New Roman"/>
        <family val="1"/>
      </rPr>
      <t>Unrestricted Investments held with Treasurer of VA (excludes SNAP):</t>
    </r>
  </si>
  <si>
    <r>
      <t xml:space="preserve">d.  </t>
    </r>
    <r>
      <rPr>
        <b/>
        <sz val="10"/>
        <rFont val="Times New Roman"/>
        <family val="1"/>
      </rPr>
      <t>Restricted Investments held with Treasurer of VA (excludes SNAP):</t>
    </r>
  </si>
  <si>
    <t>Contributions to Term/Permanent Endowments</t>
  </si>
  <si>
    <t>Net Other Postemployment Benefits (OPEB) Liability</t>
  </si>
  <si>
    <t>Total Other Postemployment Benefits (OPEB) Liability</t>
  </si>
  <si>
    <t>Contributions to Permanent and Term Endowments</t>
  </si>
  <si>
    <t>2031-2035</t>
  </si>
  <si>
    <t>2036-2040</t>
  </si>
  <si>
    <t>2041-2045</t>
  </si>
  <si>
    <t>2046-2050</t>
  </si>
  <si>
    <t>2051-2055</t>
  </si>
  <si>
    <t>2056-2060</t>
  </si>
  <si>
    <t>2061-2065</t>
  </si>
  <si>
    <t>2066-2070</t>
  </si>
  <si>
    <t>2071-2075</t>
  </si>
  <si>
    <t>2076-2080</t>
  </si>
  <si>
    <t>2081-2085</t>
  </si>
  <si>
    <t>Capital Projects/ Construction/Capital Acquisition</t>
  </si>
  <si>
    <t>Restricted for: Capital Projects/ Construction/Capital Acquisition</t>
  </si>
  <si>
    <t>Restricted for: Other</t>
  </si>
  <si>
    <t xml:space="preserve">     Total Contributions Receivables, Net</t>
  </si>
  <si>
    <t>Net Position, Ending Balance</t>
  </si>
  <si>
    <t>Contributions Receivable, Net (include description)</t>
  </si>
  <si>
    <r>
      <t xml:space="preserve">a.  For </t>
    </r>
    <r>
      <rPr>
        <b/>
        <sz val="10"/>
        <rFont val="Times New Roman"/>
        <family val="1"/>
      </rPr>
      <t>Restricted State Non-Arbitrage Program (SNAP Pool) Funds</t>
    </r>
    <r>
      <rPr>
        <sz val="10"/>
        <rFont val="Times New Roman"/>
        <family val="1"/>
      </rPr>
      <t>, provide the following:</t>
    </r>
  </si>
  <si>
    <r>
      <t xml:space="preserve">b.  For </t>
    </r>
    <r>
      <rPr>
        <b/>
        <sz val="10"/>
        <rFont val="Times New Roman"/>
        <family val="1"/>
      </rPr>
      <t>Restricted SNAP Individual Portfolio</t>
    </r>
    <r>
      <rPr>
        <sz val="10"/>
        <rFont val="Times New Roman"/>
        <family val="1"/>
      </rPr>
      <t>, provide the following:</t>
    </r>
  </si>
  <si>
    <t>Component Unit Name
Amount is Due To</t>
  </si>
  <si>
    <t>Tab 7 - Net Inv in Cap Assets</t>
  </si>
  <si>
    <t>Due within 1 year Check Figure</t>
  </si>
  <si>
    <t>VIRGINIA INNOVATION PARTNERSHIP AUTHORITY</t>
  </si>
  <si>
    <t>VIRGINIA PASSENGER RAIL AUTHORITY</t>
  </si>
  <si>
    <t>DEPARTMENT OF WILDLIFE RESOURCES</t>
  </si>
  <si>
    <t>COMMISSION ON THE MAY 31, 2019 VIRGINIA BEACH MASS SHOOTING</t>
  </si>
  <si>
    <t>COMMISSION TO STUDY SLAVERY AND SUBSEQUENT DE JURE AND DE FACTO RACIAL AND ECONOMIC DISCRIMINATION AGAINST AFRICAN AMERICANS</t>
  </si>
  <si>
    <t>MAINTAIN AFFORDABLE ACCESS</t>
  </si>
  <si>
    <t>Rental expense under these operating leases for the year ended June 30, 2021, was:</t>
  </si>
  <si>
    <t xml:space="preserve">*Note:  Only report amounts in the "Other" category if they do not fit in the more descriptive categories that are listed (i.e., hedge funds, partnerships, etc.) 
</t>
  </si>
  <si>
    <t>Note A:  The Total for "Cash Equivalents", "Investments", and "Reported Amount" columns must agree to the cash equivalents and investments subtotal reported in Part 7 on Tab 1A - Detail Fdn. If not, an "ERROR" message will appear. Make corrections as deemed necessary.</t>
  </si>
  <si>
    <t>Below are some adjustments made last year.  Consider if similar adjustments are needed this year:</t>
  </si>
  <si>
    <t>JAMESTOWN-YORKTOWN COMMEMORATIONS</t>
  </si>
  <si>
    <t>Other (Part 8)</t>
  </si>
  <si>
    <t>Other Capital Assets, Net</t>
  </si>
  <si>
    <t>Other Capital Assets:</t>
  </si>
  <si>
    <t xml:space="preserve">   Total Other Capital Assets</t>
  </si>
  <si>
    <t xml:space="preserve">   Total Other Capital Assets, Net</t>
  </si>
  <si>
    <t>Part 4:  Notes Payable</t>
  </si>
  <si>
    <t>Part 5:  Other</t>
  </si>
  <si>
    <r>
      <t xml:space="preserve">Notes Payable (Part 4) </t>
    </r>
    <r>
      <rPr>
        <b/>
        <sz val="8"/>
        <color indexed="8"/>
        <rFont val="Times New Roman"/>
        <family val="1"/>
      </rPr>
      <t>(Note A)</t>
    </r>
  </si>
  <si>
    <t>Other (Part 5)</t>
  </si>
  <si>
    <r>
      <t>B) Operating Leases</t>
    </r>
    <r>
      <rPr>
        <sz val="8"/>
        <rFont val="Times New Roman"/>
        <family val="1"/>
      </rPr>
      <t xml:space="preserve"> (for foundations that have </t>
    </r>
    <r>
      <rPr>
        <u/>
        <sz val="8"/>
        <rFont val="Times New Roman"/>
        <family val="1"/>
      </rPr>
      <t>not</t>
    </r>
    <r>
      <rPr>
        <sz val="8"/>
        <rFont val="Times New Roman"/>
        <family val="1"/>
      </rPr>
      <t xml:space="preserve"> yet implemented the new FASB lease requiremen</t>
    </r>
    <r>
      <rPr>
        <b/>
        <sz val="8"/>
        <rFont val="Times New Roman"/>
        <family val="1"/>
      </rPr>
      <t>ts):</t>
    </r>
  </si>
  <si>
    <t>Total Commitment</t>
  </si>
  <si>
    <t>VIRGINIA CANNABIS CONTROL AUTHORITY</t>
  </si>
  <si>
    <t>BEHAVIORAL HEALTH COMMISSION</t>
  </si>
  <si>
    <t>DEPARTMENT OF ENERGY</t>
  </si>
  <si>
    <t>JONES AND CABACOY VETERANS CARE CENTER</t>
  </si>
  <si>
    <t>JUVENILE AND DOMESTIC RELATIONS DISTRICT COURTS</t>
  </si>
  <si>
    <t>PULLER VETERANS CARE CENTER</t>
  </si>
  <si>
    <t>SECRETARY OF LABOR</t>
  </si>
  <si>
    <t xml:space="preserve">  Livestock</t>
  </si>
  <si>
    <r>
      <rPr>
        <b/>
        <sz val="9"/>
        <rFont val="Arial"/>
        <family val="2"/>
      </rPr>
      <t>New FASB Lease Requirements</t>
    </r>
    <r>
      <rPr>
        <sz val="9"/>
        <rFont val="Arial"/>
        <family val="2"/>
      </rPr>
      <t xml:space="preserve">:  </t>
    </r>
    <r>
      <rPr>
        <b/>
        <sz val="9"/>
        <rFont val="Arial"/>
        <family val="2"/>
      </rPr>
      <t>If a foundation implemented the new FASB lease requirements for FY 2022 or earlier and the foundation is the lessee</t>
    </r>
    <r>
      <rPr>
        <sz val="9"/>
        <rFont val="Arial"/>
        <family val="2"/>
      </rPr>
      <t xml:space="preserve">, record Operating Lease Liabilities and Finance Lease Liabilities on the Component Unit Template tab as Long-Term Liabilities-Other-due within one year for the current portion and Long-Term Liabilities-Other-due in More than One Year for the noncurrent portion.   Also, provide an explanation on the Tab 4, part 5 "Other" section that includes a description and corresponding amount of the operating lease liabilities separate from the finance lease liabilities.  Report the Finance Lease Right-of-Use Assets and the Operating Lease Right-of-Use-Assets on the Component Unit Template tab as a Capital Asset and/or Other Assets.   If reported on the "Other Assets" line item, include a description in the space provided in cell G79.  DOA may request additional information in a separate communication.
</t>
    </r>
    <r>
      <rPr>
        <b/>
        <sz val="9"/>
        <color rgb="FFFF0000"/>
        <rFont val="Arial"/>
        <family val="2"/>
      </rPr>
      <t xml:space="preserve">Note:  If a foundation has </t>
    </r>
    <r>
      <rPr>
        <b/>
        <u/>
        <sz val="9"/>
        <color rgb="FFFF0000"/>
        <rFont val="Arial"/>
        <family val="2"/>
      </rPr>
      <t xml:space="preserve">not </t>
    </r>
    <r>
      <rPr>
        <b/>
        <sz val="9"/>
        <color rgb="FFFF0000"/>
        <rFont val="Arial"/>
        <family val="2"/>
      </rPr>
      <t xml:space="preserve">implemented the new FASB lease requirements, provide operating lease commitments with outside entities in Part B, if applicable.
</t>
    </r>
  </si>
  <si>
    <t>Did the Foundation implement the new FASB lease requirements for FY 2022 or earlier?</t>
  </si>
  <si>
    <t xml:space="preserve">Does the Foundation have any commitments?  </t>
  </si>
  <si>
    <t xml:space="preserve">Did the Foundation have short-term debt activity during the year with parties external to the Commonwealth?  </t>
  </si>
  <si>
    <t>Cash Equivalents Not with Treasurer Subtotal</t>
  </si>
  <si>
    <t>Investments Not with Treasurer Subtotal</t>
  </si>
  <si>
    <t xml:space="preserve">Institutional Commingled Funds </t>
  </si>
  <si>
    <t xml:space="preserve">Private Equity </t>
  </si>
  <si>
    <t>Fixed Income</t>
  </si>
  <si>
    <t>Check figure - Assets = Liabilities + NP</t>
  </si>
  <si>
    <t>Check figure - NP from Stmt of Activities = NP from SNP</t>
  </si>
  <si>
    <t>B) Other Commitments:</t>
  </si>
  <si>
    <t>Net Position:</t>
  </si>
  <si>
    <t>Other Long-term Liabilities Due Greater Than One Year</t>
  </si>
  <si>
    <t>Other Long-term Liabilities Due Within One Year</t>
  </si>
  <si>
    <t>Other Liabilities Due Within One Year</t>
  </si>
  <si>
    <t>Other Liabilities Due Greater Than One Year</t>
  </si>
  <si>
    <t>Other Accounts Payable</t>
  </si>
  <si>
    <t xml:space="preserve">Contributions Receivable, Net </t>
  </si>
  <si>
    <t xml:space="preserve">Miscellaneous </t>
  </si>
  <si>
    <t>Special Items</t>
  </si>
  <si>
    <t>Extraordinary Items</t>
  </si>
  <si>
    <r>
      <rPr>
        <b/>
        <u/>
        <sz val="8"/>
        <rFont val="Times New Roman"/>
        <family val="1"/>
      </rPr>
      <t>Note:</t>
    </r>
    <r>
      <rPr>
        <sz val="8"/>
        <rFont val="Times New Roman"/>
        <family val="1"/>
      </rPr>
      <t xml:space="preserve"> Don't include 9(C) REVENUE BONDS or 9(D) REVENUE BONDS</t>
    </r>
  </si>
  <si>
    <t>This column is from the CY Vlookup file (contains Agency names &amp; numbers), the CU and HEI tabs (combined and then sorted to be in alphabetic order)</t>
  </si>
  <si>
    <t>BRIGHTPOINT COMMUNITY COLLEGE</t>
  </si>
  <si>
    <t>COOPERATIVE EXTENSION AND AGRICULTURAL RESEARCH SERVICES</t>
  </si>
  <si>
    <t>HAMPTON ROADS TRANSPORTATION ACCOUNTABILITY COMMISSION</t>
  </si>
  <si>
    <t>INSTITUTE FOR ADVANCED LEARNING AND RESEARCH</t>
  </si>
  <si>
    <t>J. SARGEANT REYNOLDS COMMUNITY COLLEGE</t>
  </si>
  <si>
    <t>LAUREL RIDGE COMMUNITY COLLEGE</t>
  </si>
  <si>
    <t>MOUNTAIN GATEWAY COMMUNITY COLLEGE</t>
  </si>
  <si>
    <t>OPIOID ABATEMENT AUTHORITY</t>
  </si>
  <si>
    <t>PATRICK AND HENRY COMMUNITY COLLEGE</t>
  </si>
  <si>
    <t>SOUTHWEST VIRGINIA ENERGY RESEARCH AND DEVELOPMENT AUTHORITY</t>
  </si>
  <si>
    <t>TOURIST TRAIN DEVELOPMENT AUTHORITY</t>
  </si>
  <si>
    <t>VIRGINIA COALFIELDS EXPRESSWAY AUTHORITY</t>
  </si>
  <si>
    <t>VIRGINIA COMMONWEALTH UNIVERSITY</t>
  </si>
  <si>
    <t>VIRGINIA INSTITUTE OF MARINE SCIENCE</t>
  </si>
  <si>
    <t>VIRGINIA PENINSULA COMMUNITY COLLEGE</t>
  </si>
  <si>
    <t>VIRGINIA POLYTECHNIC INSTITUTE AND STATE UNIVERSITY</t>
  </si>
  <si>
    <t>VIRGINIA PUBLIC BUILDING AUTHORITY</t>
  </si>
  <si>
    <t>COMMISSIONERS FOR THE PROMOTION OF UNIFORMITY OF LEGISLATION IN THE UNITED STATES</t>
  </si>
  <si>
    <t>DEPARTMENT OF BEHAVIORAL HEALTH AND DEVELOPMENTAL SERVICES</t>
  </si>
  <si>
    <t>DEPARTMENT OF TRANSPORTATION TRANSFER PAYMENTS</t>
  </si>
  <si>
    <t>SECRETARY OF NATURAL AND HISTORIC RESOURCES</t>
  </si>
  <si>
    <t>SECRETARY OF PUBLIC SAFETY AND HOMELAND SECURITY</t>
  </si>
  <si>
    <t>Yes, No, or N/A</t>
  </si>
  <si>
    <t>Include unspent proceeds on debt related to capital assets 
(amount should exclude investment earnings - see Note A) 
(enter as a positive)</t>
  </si>
  <si>
    <t>Due to Other Governments (i.e. Federal/Local Govts)</t>
  </si>
  <si>
    <r>
      <rPr>
        <b/>
        <sz val="8"/>
        <rFont val="Times New Roman"/>
        <family val="1"/>
      </rPr>
      <t>FASB Lease Requirements</t>
    </r>
    <r>
      <rPr>
        <sz val="8"/>
        <rFont val="Times New Roman"/>
        <family val="1"/>
      </rPr>
      <t xml:space="preserve">:  If a foundation is the lessee, record Operating Lease Liabilities and Finance Lease Liabilities on the Component Unit Template's Long-Term Liabilities-Other - Due within One Year for the current portion and the Long-Term Liabilities-Other - Due Greater than One Year for the noncurrent portion.   Also, report the operating lease liabilities separately from the finance lease liabilities on this tab in Part 1 below.  Report the Operating Lease Right-of-Use Assets and Finance Lease Right-of-Use Assets on the applicable Component Unit Template's Capital Asset and/or Other Assets line items.  DOA may request additional information in a separate communication. </t>
    </r>
  </si>
  <si>
    <t>For the Year Ended June 30, 2024</t>
  </si>
  <si>
    <t xml:space="preserve">a) Is the sum of Unrestricted/Restricted Cash Equivalents Not held with the Treasurer of Virginia (excludes SNAP) and Restricted SNAP Individual </t>
  </si>
  <si>
    <t>Restricted Receivables, Net</t>
  </si>
  <si>
    <t>Tab 2 - Part 4 Due To/From</t>
  </si>
  <si>
    <t>Tab 2 Part 4</t>
  </si>
  <si>
    <t>Tab 3: Capital Assets</t>
  </si>
  <si>
    <t>Tab 4A: Short-term Debt</t>
  </si>
  <si>
    <t>Tab 2: Receivables</t>
  </si>
  <si>
    <t>Tab 2 - Part 3 Restricted Receivables</t>
  </si>
  <si>
    <t xml:space="preserve">  Restricted Accounts Receivable</t>
  </si>
  <si>
    <t xml:space="preserve">  Restricted Loans/Mortgage Receivable</t>
  </si>
  <si>
    <t xml:space="preserve">  Restricted Taxes Receivable</t>
  </si>
  <si>
    <t xml:space="preserve">  Restricted Interest Receivable</t>
  </si>
  <si>
    <t xml:space="preserve">  Restricted Other Receivables (provide description)</t>
  </si>
  <si>
    <t xml:space="preserve">     Total Gross Restricted Receivables</t>
  </si>
  <si>
    <t xml:space="preserve">     Total Restricted Receivables, Net</t>
  </si>
  <si>
    <t>Total Receivables 
as of 
June 30, 2024</t>
  </si>
  <si>
    <t>Portion of Total Receivables to be Collected After 
June 30, 2025</t>
  </si>
  <si>
    <r>
      <rPr>
        <sz val="8"/>
        <rFont val="Times New Roman"/>
        <family val="1"/>
      </rPr>
      <t>Allowance for Doubtful Accounts</t>
    </r>
    <r>
      <rPr>
        <b/>
        <sz val="8"/>
        <rFont val="Times New Roman"/>
        <family val="1"/>
      </rPr>
      <t xml:space="preserve">
(Enter as a negative):</t>
    </r>
  </si>
  <si>
    <t>KW 4/12/24</t>
  </si>
  <si>
    <t>1. To reclass Restricted NP to tie to LVF's financial statements:
NP - Restricted - Gifts and Grants          2,329,500
                 NP - Restricted - Nonexpendable             2,329,500</t>
  </si>
  <si>
    <t>All AJEs have been updated for FY24 - KW 4/12/24</t>
  </si>
  <si>
    <r>
      <t xml:space="preserve">June </t>
    </r>
    <r>
      <rPr>
        <strike/>
        <sz val="8"/>
        <rFont val="Times New Roman"/>
        <family val="1"/>
      </rPr>
      <t>30</t>
    </r>
    <r>
      <rPr>
        <sz val="8"/>
        <rFont val="Times New Roman"/>
        <family val="1"/>
      </rPr>
      <t>, 2024</t>
    </r>
  </si>
  <si>
    <t>Balance June 30, 2024</t>
  </si>
  <si>
    <t>2030 &amp; Thereafter</t>
  </si>
  <si>
    <t>Provide a description of any construction project commitments that the Foundation entered into as of June 30 and the total amount of the commitment as of June 30, 2024.
Note:  Please do not include any amounts that are reported on the Statement of Net Position.</t>
  </si>
  <si>
    <t xml:space="preserve">Provide a description of any other commitment contracts, not reported above, that aggregate to $5 million or more, as of June 30, 2024.
Please submit contractually obligated and non-contractually obligated amounts separately and provide the total amount of those commitments.  For entities that use the Commonwealth's General Ledger, please do not submit any amounts that were processed as payables during July, August, or September in Cardinal using the criteria outlined in the Authoritative Literature / Guidance for Preparation of GAAP Basis Fund Financial Statement Templates located at DOA's website. </t>
  </si>
  <si>
    <t>Ending Balance
June 30, 2024</t>
  </si>
  <si>
    <t>This column is from the CY Vlookup file, the ALL AGENCY TABLE tab (sorted to be in alphabetic order)</t>
  </si>
  <si>
    <t>DAVIS &amp; MCDANIEL VETERANS CARE CENTER</t>
  </si>
  <si>
    <t>OFFICE OF DATA GOVERNANCE AND ANALYTICS</t>
  </si>
  <si>
    <t>DEPARTMENT OF WORKFORCE DEVELOPMENT AND ADVANCEMENT</t>
  </si>
  <si>
    <t>BROWN V. BOARD OF EDUCATION SCHOLARSHIP COMMITTEE</t>
  </si>
  <si>
    <t>AMERICAN REVOLUTION 250 COMMISSION</t>
  </si>
  <si>
    <t xml:space="preserve">DEPARTMENT OF TREASURY - TRUST FUNDS </t>
  </si>
  <si>
    <t xml:space="preserve">DEPARTMENT OF TREASURY - STATEWIDE ACTIVITIES  </t>
  </si>
  <si>
    <t>VIRGINIA COMMUNITY COLLEGE SYSTEM-CENTRAL OFFICE</t>
  </si>
  <si>
    <t>VIRGINIA COMMUNITY COLLEGE SYSTEM  - SHARED SERVICES CENTER</t>
  </si>
  <si>
    <t xml:space="preserve">RAPPAHANNOCK COMMUNITY COLLEGE </t>
  </si>
  <si>
    <t xml:space="preserve">GERMANNA COMMUNITY COLLEGE </t>
  </si>
  <si>
    <t xml:space="preserve">1. To reclass Grant Income as Contributions to Term Endowments to ensure ACFR reporting consistency:
Operating Grants and Contributions          218,907
                    Contributions to Permanent and Term Endowments            218,907
</t>
  </si>
  <si>
    <t xml:space="preserve">1. To reclass temporarily restricted Contributions and Grant income as Contributions to Term Endowments to ensure ACFR reporting consistency:
PR - Operating Grants &amp; Contributions                    2,068,756
                   Contributions to Permanent and Term Endowments                                     2,068,756
</t>
  </si>
  <si>
    <t>1. To correct revenue classifications to ensure ACFR reporting consistency:
PR - Operating Grants and Contributions                        3,547,031
GR - Unrestricted Grants and Contributions                    407,199
                   GR - Investment Earnings                                                                3,634,990
                   GR - Contributions to Permanent and Term Endowment                                       319,240
2. To reclass Special Item to Miscellaneous Income:
Special Items                                                                          727,615
                         Miscellaneous                                                                               727,615</t>
  </si>
  <si>
    <t>Tab 7:  Net Investment in Capital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</si>
</sst>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m\ dd"/>
    <numFmt numFmtId="166" formatCode="mmmm\ d\,\ yyyy"/>
    <numFmt numFmtId="167" formatCode="&quot;$&quot;#,##0\ ;\(&quot;$&quot;#,##0\)"/>
    <numFmt numFmtId="168" formatCode="mm/dd/yy"/>
    <numFmt numFmtId="169" formatCode="#,##0;\-#,##0"/>
    <numFmt numFmtId="170" formatCode="#,##0.0;\-#,##0.0"/>
    <numFmt numFmtId="171" formatCode="#,##0.00;\-#,##0.00"/>
    <numFmt numFmtId="172" formatCode="#,##0.000;\-#,##0.000"/>
    <numFmt numFmtId="173" formatCode="#,##0.0000;\-#,##0.0000"/>
    <numFmt numFmtId="174" formatCode="#,##0.00000;\-#,##0.00000"/>
    <numFmt numFmtId="175" formatCode="#,##0.000000;\-#,##0.000000"/>
    <numFmt numFmtId="176" formatCode="#,##0.0000000;\-#,##0.0000000"/>
    <numFmt numFmtId="177" formatCode="#,##0.00000000;\-#,##0.00000000"/>
    <numFmt numFmtId="178" formatCode="#,##0.000000000;\-#,##0.000000000"/>
    <numFmt numFmtId="179" formatCode="#,##0.0000000000;\-#,##0.0000000000"/>
    <numFmt numFmtId="180" formatCode="mm/dd/yy;@"/>
    <numFmt numFmtId="181" formatCode="[&lt;=9999999]###\-####;\(###\)\ ###\-####"/>
  </numFmts>
  <fonts count="10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b/>
      <sz val="8"/>
      <name val="Times New Roman"/>
      <family val="1"/>
    </font>
    <font>
      <sz val="7"/>
      <color indexed="81"/>
      <name val="Tahoma"/>
      <family val="2"/>
    </font>
    <font>
      <sz val="8"/>
      <name val="Times New Roman"/>
      <family val="1"/>
    </font>
    <font>
      <b/>
      <sz val="8"/>
      <color indexed="81"/>
      <name val="Tahoma"/>
      <family val="2"/>
    </font>
    <font>
      <sz val="8"/>
      <color indexed="81"/>
      <name val="Tahoma"/>
      <family val="2"/>
    </font>
    <font>
      <sz val="8"/>
      <color indexed="10"/>
      <name val="Times New Roman"/>
      <family val="1"/>
    </font>
    <font>
      <sz val="12"/>
      <color indexed="24"/>
      <name val="Arial"/>
      <family val="2"/>
    </font>
    <font>
      <sz val="8"/>
      <color indexed="53"/>
      <name val="Times New Roman"/>
      <family val="1"/>
    </font>
    <font>
      <sz val="8"/>
      <color indexed="8"/>
      <name val="Times New Roman"/>
      <family val="1"/>
    </font>
    <font>
      <i/>
      <sz val="8"/>
      <name val="Times New Roman"/>
      <family val="1"/>
    </font>
    <font>
      <u/>
      <sz val="7.5"/>
      <color indexed="12"/>
      <name val="Courier"/>
      <family val="3"/>
    </font>
    <font>
      <b/>
      <sz val="8"/>
      <color indexed="10"/>
      <name val="Times New Roman"/>
      <family val="1"/>
    </font>
    <font>
      <b/>
      <i/>
      <sz val="8"/>
      <color indexed="81"/>
      <name val="Tahoma"/>
      <family val="2"/>
    </font>
    <font>
      <b/>
      <sz val="14"/>
      <color indexed="24"/>
      <name val="Arial"/>
      <family val="2"/>
    </font>
    <font>
      <b/>
      <sz val="12"/>
      <color indexed="24"/>
      <name val="Arial"/>
      <family val="2"/>
    </font>
    <font>
      <b/>
      <sz val="10"/>
      <name val="Times New Roman"/>
      <family val="1"/>
    </font>
    <font>
      <sz val="10"/>
      <name val="Times New Roman"/>
      <family val="1"/>
    </font>
    <font>
      <b/>
      <u/>
      <sz val="10"/>
      <name val="Times New Roman"/>
      <family val="1"/>
    </font>
    <font>
      <sz val="8"/>
      <name val="Arial"/>
      <family val="2"/>
    </font>
    <font>
      <sz val="10"/>
      <color indexed="8"/>
      <name val="Times New Roman"/>
      <family val="1"/>
    </font>
    <font>
      <b/>
      <sz val="9"/>
      <color indexed="81"/>
      <name val="Tahoma"/>
      <family val="2"/>
    </font>
    <font>
      <sz val="9"/>
      <color indexed="81"/>
      <name val="Tahoma"/>
      <family val="2"/>
    </font>
    <font>
      <b/>
      <sz val="12"/>
      <name val="Times New Roman"/>
      <family val="1"/>
    </font>
    <font>
      <b/>
      <sz val="9"/>
      <name val="Times New Roman"/>
      <family val="1"/>
    </font>
    <font>
      <sz val="9"/>
      <name val="Times New Roman"/>
      <family val="1"/>
    </font>
    <font>
      <sz val="9"/>
      <color indexed="12"/>
      <name val="Times New Roman"/>
      <family val="1"/>
    </font>
    <font>
      <sz val="9"/>
      <color indexed="8"/>
      <name val="Times New Roman"/>
      <family val="1"/>
    </font>
    <font>
      <sz val="9"/>
      <color indexed="53"/>
      <name val="Times New Roman"/>
      <family val="1"/>
    </font>
    <font>
      <sz val="9"/>
      <color indexed="10"/>
      <name val="Times New Roman"/>
      <family val="1"/>
    </font>
    <font>
      <sz val="10"/>
      <name val="Courier"/>
      <family val="3"/>
    </font>
    <font>
      <strike/>
      <sz val="10"/>
      <name val="Times New Roman"/>
      <family val="1"/>
    </font>
    <font>
      <b/>
      <u/>
      <sz val="8"/>
      <name val="Times New Roman"/>
      <family val="1"/>
    </font>
    <font>
      <sz val="10"/>
      <name val="Arial"/>
      <family val="2"/>
    </font>
    <font>
      <b/>
      <sz val="10"/>
      <name val="Arial"/>
      <family val="2"/>
    </font>
    <font>
      <sz val="10"/>
      <name val="Arial"/>
      <family val="2"/>
    </font>
    <font>
      <sz val="10"/>
      <name val="Times New Roman"/>
      <family val="1"/>
    </font>
    <font>
      <b/>
      <sz val="10"/>
      <name val="Arial"/>
      <family val="2"/>
    </font>
    <font>
      <b/>
      <u/>
      <sz val="8"/>
      <color indexed="10"/>
      <name val="Times New Roman"/>
      <family val="1"/>
    </font>
    <font>
      <sz val="10"/>
      <color indexed="10"/>
      <name val="Times New Roman"/>
      <family val="1"/>
    </font>
    <font>
      <b/>
      <sz val="10"/>
      <color indexed="10"/>
      <name val="Times New Roman"/>
      <family val="1"/>
    </font>
    <font>
      <sz val="10"/>
      <color indexed="12"/>
      <name val="Times New Roman"/>
      <family val="1"/>
    </font>
    <font>
      <b/>
      <sz val="10"/>
      <color indexed="10"/>
      <name val="Arial"/>
      <family val="2"/>
    </font>
    <font>
      <b/>
      <u/>
      <sz val="8"/>
      <color indexed="12"/>
      <name val="Times New Roman"/>
      <family val="1"/>
    </font>
    <font>
      <b/>
      <u/>
      <sz val="10"/>
      <color indexed="12"/>
      <name val="Times New Roman"/>
      <family val="1"/>
    </font>
    <font>
      <b/>
      <sz val="10"/>
      <color indexed="12"/>
      <name val="Arial"/>
      <family val="2"/>
    </font>
    <font>
      <b/>
      <u/>
      <sz val="9"/>
      <color indexed="12"/>
      <name val="Times New Roman"/>
      <family val="1"/>
    </font>
    <font>
      <sz val="12"/>
      <name val="Times New Roman"/>
      <family val="1"/>
    </font>
    <font>
      <b/>
      <u/>
      <sz val="9"/>
      <name val="Times New Roman"/>
      <family val="1"/>
    </font>
    <font>
      <u/>
      <sz val="9"/>
      <name val="Times New Roman"/>
      <family val="1"/>
    </font>
    <font>
      <sz val="9"/>
      <name val="Arial"/>
      <family val="2"/>
    </font>
    <font>
      <u/>
      <sz val="10"/>
      <name val="Times New Roman"/>
      <family val="1"/>
    </font>
    <font>
      <sz val="11"/>
      <name val="CG Times (WN)"/>
    </font>
    <font>
      <b/>
      <sz val="8"/>
      <color rgb="FF7030A0"/>
      <name val="Times New Roman"/>
      <family val="1"/>
    </font>
    <font>
      <sz val="9"/>
      <color rgb="FFFF0000"/>
      <name val="Times New Roman"/>
      <family val="1"/>
    </font>
    <font>
      <sz val="11"/>
      <name val="Times New Roman"/>
      <family val="1"/>
    </font>
    <font>
      <b/>
      <u/>
      <sz val="8"/>
      <color indexed="81"/>
      <name val="Tahoma"/>
      <family val="2"/>
    </font>
    <font>
      <sz val="9"/>
      <color indexed="81"/>
      <name val="Times New Roman"/>
      <family val="1"/>
    </font>
    <font>
      <sz val="10"/>
      <color indexed="81"/>
      <name val="Times New Roman"/>
      <family val="1"/>
    </font>
    <font>
      <strike/>
      <sz val="9"/>
      <name val="Times New Roman"/>
      <family val="1"/>
    </font>
    <font>
      <u/>
      <sz val="8"/>
      <color indexed="12"/>
      <name val="Times New Roman"/>
      <family val="1"/>
    </font>
    <font>
      <sz val="8"/>
      <color rgb="FFFF0000"/>
      <name val="Times New Roman"/>
      <family val="1"/>
    </font>
    <font>
      <b/>
      <sz val="8"/>
      <color rgb="FFFF0000"/>
      <name val="Times New Roman"/>
      <family val="1"/>
    </font>
    <font>
      <sz val="10"/>
      <color theme="1"/>
      <name val="Times New Roman"/>
      <family val="1"/>
    </font>
    <font>
      <b/>
      <sz val="10"/>
      <color theme="1"/>
      <name val="Times New Roman"/>
      <family val="1"/>
    </font>
    <font>
      <sz val="10"/>
      <name val="Arial"/>
      <family val="2"/>
    </font>
    <font>
      <b/>
      <sz val="9"/>
      <color rgb="FFFF0000"/>
      <name val="Times New Roman"/>
      <family val="1"/>
    </font>
    <font>
      <b/>
      <u/>
      <sz val="8"/>
      <color rgb="FFFF0000"/>
      <name val="Times New Roman"/>
      <family val="1"/>
    </font>
    <font>
      <sz val="8.5"/>
      <color indexed="81"/>
      <name val="Tahoma"/>
      <family val="2"/>
    </font>
    <font>
      <b/>
      <sz val="8"/>
      <color indexed="8"/>
      <name val="Times New Roman"/>
      <family val="1"/>
    </font>
    <font>
      <b/>
      <sz val="8"/>
      <color rgb="FF0000FF"/>
      <name val="Times New Roman"/>
      <family val="1"/>
    </font>
    <font>
      <b/>
      <sz val="10"/>
      <color rgb="FFFF0000"/>
      <name val="Times New Roman"/>
      <family val="1"/>
    </font>
    <font>
      <b/>
      <strike/>
      <sz val="10"/>
      <name val="Times New Roman"/>
      <family val="1"/>
    </font>
    <font>
      <sz val="10"/>
      <name val="Times New Roman"/>
      <family val="1"/>
    </font>
    <font>
      <sz val="10"/>
      <name val="Arial Unicode MS"/>
      <family val="2"/>
    </font>
    <font>
      <sz val="11"/>
      <color theme="1"/>
      <name val="Times New Roman"/>
      <family val="2"/>
    </font>
    <font>
      <u/>
      <sz val="10"/>
      <color rgb="FF0000FF"/>
      <name val="Times New Roman"/>
      <family val="1"/>
    </font>
    <font>
      <b/>
      <u/>
      <sz val="8"/>
      <color rgb="FF0000FF"/>
      <name val="Times New Roman"/>
      <family val="1"/>
    </font>
    <font>
      <sz val="10"/>
      <color indexed="8"/>
      <name val="MS Sans Serif"/>
      <family val="2"/>
    </font>
    <font>
      <b/>
      <strike/>
      <sz val="10"/>
      <color indexed="12"/>
      <name val="Times New Roman"/>
      <family val="1"/>
    </font>
    <font>
      <strike/>
      <sz val="10"/>
      <name val="Cambria"/>
      <family val="1"/>
    </font>
    <font>
      <strike/>
      <sz val="9"/>
      <color indexed="8"/>
      <name val="Times New Roman"/>
      <family val="1"/>
    </font>
    <font>
      <strike/>
      <sz val="8"/>
      <name val="Times New Roman"/>
      <family val="1"/>
    </font>
    <font>
      <b/>
      <strike/>
      <sz val="8"/>
      <name val="Times New Roman"/>
      <family val="1"/>
    </font>
    <font>
      <strike/>
      <sz val="10"/>
      <color indexed="53"/>
      <name val="Times New Roman"/>
      <family val="1"/>
    </font>
    <font>
      <b/>
      <sz val="9"/>
      <color rgb="FFFF0000"/>
      <name val="Arial"/>
      <family val="2"/>
    </font>
    <font>
      <sz val="8"/>
      <name val="New Times Roman"/>
    </font>
    <font>
      <b/>
      <sz val="9"/>
      <name val="Arial"/>
      <family val="2"/>
    </font>
    <font>
      <b/>
      <u/>
      <sz val="9"/>
      <color rgb="FFFF0000"/>
      <name val="Arial"/>
      <family val="2"/>
    </font>
    <font>
      <u/>
      <sz val="8"/>
      <name val="Times New Roman"/>
      <family val="1"/>
    </font>
    <font>
      <sz val="12"/>
      <color rgb="FFFF0000"/>
      <name val="Times New Roman"/>
      <family val="1"/>
    </font>
    <font>
      <b/>
      <sz val="12"/>
      <color rgb="FFFF0000"/>
      <name val="Times New Roman"/>
      <family val="1"/>
    </font>
    <font>
      <sz val="10"/>
      <color rgb="FFFF0000"/>
      <name val="Times New Roman"/>
      <family val="1"/>
    </font>
    <font>
      <sz val="10"/>
      <color rgb="FF7030A0"/>
      <name val="Times New Roman"/>
      <family val="1"/>
    </font>
    <font>
      <u/>
      <sz val="8"/>
      <color indexed="81"/>
      <name val="Tahoma"/>
      <family val="2"/>
    </font>
    <font>
      <b/>
      <sz val="10"/>
      <color indexed="81"/>
      <name val="Times New Roman"/>
      <family val="1"/>
    </font>
    <font>
      <b/>
      <sz val="10"/>
      <color rgb="FF7030A0"/>
      <name val="Times New Roman"/>
      <family val="1"/>
    </font>
    <font>
      <strike/>
      <sz val="9"/>
      <color indexed="12"/>
      <name val="Times New Roman"/>
      <family val="1"/>
    </font>
    <font>
      <strike/>
      <sz val="8"/>
      <color indexed="53"/>
      <name val="Times New Roman"/>
      <family val="1"/>
    </font>
    <font>
      <strike/>
      <sz val="9"/>
      <name val="Cambria"/>
      <family val="1"/>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79998168889431442"/>
        <bgColor indexed="64"/>
      </patternFill>
    </fill>
  </fills>
  <borders count="21">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42">
    <xf numFmtId="0" fontId="0" fillId="0" borderId="0"/>
    <xf numFmtId="43" fontId="6" fillId="0" borderId="0" applyFont="0" applyFill="0" applyBorder="0" applyAlignment="0" applyProtection="0"/>
    <xf numFmtId="3" fontId="14" fillId="0" borderId="0" applyFont="0" applyFill="0" applyBorder="0" applyAlignment="0" applyProtection="0"/>
    <xf numFmtId="167"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alignment vertical="top"/>
      <protection locked="0"/>
    </xf>
    <xf numFmtId="0" fontId="6" fillId="0" borderId="0"/>
    <xf numFmtId="37" fontId="37" fillId="0" borderId="0"/>
    <xf numFmtId="0" fontId="14" fillId="0" borderId="0"/>
    <xf numFmtId="0" fontId="14" fillId="0" borderId="0"/>
    <xf numFmtId="0" fontId="6" fillId="0" borderId="0"/>
    <xf numFmtId="0" fontId="6" fillId="0" borderId="0"/>
    <xf numFmtId="0" fontId="6" fillId="0" borderId="0"/>
    <xf numFmtId="0" fontId="6" fillId="0" borderId="0"/>
    <xf numFmtId="0" fontId="43" fillId="0" borderId="0"/>
    <xf numFmtId="0" fontId="43" fillId="0" borderId="0"/>
    <xf numFmtId="0" fontId="59" fillId="0" borderId="0"/>
    <xf numFmtId="0" fontId="10" fillId="0" borderId="0"/>
    <xf numFmtId="0" fontId="10" fillId="0" borderId="0"/>
    <xf numFmtId="169" fontId="6" fillId="0" borderId="0"/>
    <xf numFmtId="179" fontId="6" fillId="0" borderId="0"/>
    <xf numFmtId="170" fontId="6" fillId="0" borderId="0"/>
    <xf numFmtId="171" fontId="6" fillId="0" borderId="0"/>
    <xf numFmtId="172" fontId="6" fillId="0" borderId="0"/>
    <xf numFmtId="173" fontId="6" fillId="0" borderId="0"/>
    <xf numFmtId="174" fontId="6" fillId="0" borderId="0"/>
    <xf numFmtId="175" fontId="6" fillId="0" borderId="0"/>
    <xf numFmtId="176" fontId="6" fillId="0" borderId="0"/>
    <xf numFmtId="177" fontId="6" fillId="0" borderId="0"/>
    <xf numFmtId="178" fontId="6" fillId="0" borderId="0"/>
    <xf numFmtId="49" fontId="6" fillId="0" borderId="0"/>
    <xf numFmtId="0" fontId="14" fillId="0" borderId="1" applyNumberFormat="0" applyFont="0" applyFill="0" applyAlignment="0" applyProtection="0"/>
    <xf numFmtId="0" fontId="6" fillId="0" borderId="0"/>
    <xf numFmtId="9" fontId="6" fillId="0" borderId="0" applyFont="0" applyFill="0" applyBorder="0" applyAlignment="0" applyProtection="0"/>
    <xf numFmtId="0" fontId="6" fillId="0" borderId="0"/>
    <xf numFmtId="37" fontId="37" fillId="0" borderId="0"/>
    <xf numFmtId="44" fontId="72" fillId="0" borderId="0" applyFont="0" applyFill="0" applyBorder="0" applyAlignment="0" applyProtection="0"/>
    <xf numFmtId="0" fontId="5" fillId="0" borderId="0"/>
    <xf numFmtId="44" fontId="6" fillId="0" borderId="0" applyFont="0" applyFill="0" applyBorder="0" applyAlignment="0" applyProtection="0"/>
    <xf numFmtId="0" fontId="4" fillId="0" borderId="0"/>
    <xf numFmtId="43" fontId="6"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4" fillId="0" borderId="1" applyNumberFormat="0" applyFon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7" fillId="0" borderId="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24" fillId="0" borderId="0"/>
    <xf numFmtId="0" fontId="1" fillId="0" borderId="0"/>
    <xf numFmtId="0" fontId="1" fillId="0" borderId="0"/>
    <xf numFmtId="0" fontId="1" fillId="0" borderId="0"/>
    <xf numFmtId="0" fontId="26" fillId="0" borderId="0"/>
    <xf numFmtId="0" fontId="1" fillId="0" borderId="0"/>
    <xf numFmtId="0" fontId="80" fillId="0" borderId="0"/>
    <xf numFmtId="0" fontId="81" fillId="0" borderId="0"/>
    <xf numFmtId="0" fontId="6" fillId="0" borderId="0"/>
    <xf numFmtId="0" fontId="81" fillId="0" borderId="0"/>
    <xf numFmtId="0" fontId="24" fillId="0" borderId="0"/>
    <xf numFmtId="0" fontId="82" fillId="0" borderId="0"/>
    <xf numFmtId="9" fontId="24" fillId="0" borderId="0" applyFont="0" applyFill="0" applyBorder="0" applyAlignment="0" applyProtection="0"/>
    <xf numFmtId="9" fontId="26" fillId="0" borderId="0" applyFont="0" applyFill="0" applyBorder="0" applyAlignment="0" applyProtection="0"/>
    <xf numFmtId="0" fontId="14" fillId="0" borderId="0"/>
    <xf numFmtId="0" fontId="14" fillId="0" borderId="1" applyNumberFormat="0" applyFont="0" applyFill="0" applyAlignment="0" applyProtection="0"/>
    <xf numFmtId="0" fontId="85" fillId="0" borderId="0"/>
  </cellStyleXfs>
  <cellXfs count="837">
    <xf numFmtId="0" fontId="0" fillId="0" borderId="0" xfId="0"/>
    <xf numFmtId="0" fontId="7" fillId="0" borderId="0" xfId="0" applyFont="1"/>
    <xf numFmtId="0" fontId="7" fillId="0" borderId="0" xfId="20" applyFont="1"/>
    <xf numFmtId="0" fontId="16" fillId="0" borderId="0" xfId="11" applyFont="1"/>
    <xf numFmtId="0" fontId="16" fillId="0" borderId="0" xfId="12" applyFont="1"/>
    <xf numFmtId="0" fontId="7" fillId="2" borderId="2" xfId="15" applyFont="1" applyFill="1" applyBorder="1" applyAlignment="1" applyProtection="1">
      <alignment horizontal="center"/>
      <protection locked="0"/>
    </xf>
    <xf numFmtId="0" fontId="7" fillId="0" borderId="0" xfId="20" quotePrefix="1" applyFont="1" applyAlignment="1">
      <alignment horizontal="left"/>
    </xf>
    <xf numFmtId="0" fontId="7" fillId="0" borderId="0" xfId="20" applyFont="1" applyAlignment="1">
      <alignment horizontal="left"/>
    </xf>
    <xf numFmtId="41" fontId="7" fillId="0" borderId="0" xfId="0" applyNumberFormat="1" applyFont="1"/>
    <xf numFmtId="0" fontId="7" fillId="0" borderId="0" xfId="0" applyFont="1" applyAlignment="1">
      <alignment horizontal="left"/>
    </xf>
    <xf numFmtId="41" fontId="7" fillId="0" borderId="0" xfId="0" applyNumberFormat="1" applyFont="1" applyAlignment="1">
      <alignment horizontal="left"/>
    </xf>
    <xf numFmtId="0" fontId="15" fillId="0" borderId="0" xfId="0" applyFont="1" applyAlignment="1">
      <alignment horizontal="right"/>
    </xf>
    <xf numFmtId="0" fontId="8" fillId="0" borderId="0" xfId="0" applyFont="1"/>
    <xf numFmtId="41" fontId="7" fillId="0" borderId="3" xfId="0" applyNumberFormat="1" applyFont="1" applyBorder="1"/>
    <xf numFmtId="41" fontId="15" fillId="0" borderId="0" xfId="0" applyNumberFormat="1" applyFont="1" applyAlignment="1">
      <alignment horizontal="right"/>
    </xf>
    <xf numFmtId="41" fontId="7" fillId="2" borderId="2" xfId="0" applyNumberFormat="1" applyFont="1" applyFill="1" applyBorder="1" applyProtection="1">
      <protection locked="0"/>
    </xf>
    <xf numFmtId="41" fontId="7" fillId="2" borderId="4" xfId="0" applyNumberFormat="1" applyFont="1" applyFill="1" applyBorder="1" applyProtection="1">
      <protection locked="0"/>
    </xf>
    <xf numFmtId="41" fontId="7" fillId="2" borderId="2" xfId="1" applyNumberFormat="1" applyFont="1" applyFill="1" applyBorder="1" applyProtection="1">
      <protection locked="0"/>
    </xf>
    <xf numFmtId="41" fontId="7" fillId="2" borderId="4" xfId="1" applyNumberFormat="1" applyFont="1" applyFill="1" applyBorder="1" applyProtection="1">
      <protection locked="0"/>
    </xf>
    <xf numFmtId="41" fontId="7" fillId="2" borderId="2" xfId="1" applyNumberFormat="1" applyFont="1" applyFill="1" applyBorder="1" applyAlignment="1" applyProtection="1">
      <alignment horizontal="right"/>
      <protection locked="0"/>
    </xf>
    <xf numFmtId="41" fontId="7" fillId="2" borderId="2" xfId="0" applyNumberFormat="1" applyFont="1" applyFill="1" applyBorder="1" applyAlignment="1" applyProtection="1">
      <alignment horizontal="right"/>
      <protection locked="0"/>
    </xf>
    <xf numFmtId="0" fontId="7" fillId="0" borderId="0" xfId="15" applyFont="1"/>
    <xf numFmtId="0" fontId="8" fillId="0" borderId="0" xfId="15" applyFont="1"/>
    <xf numFmtId="0" fontId="8" fillId="0" borderId="2" xfId="15" applyFont="1" applyBorder="1" applyAlignment="1">
      <alignment horizontal="center" wrapText="1"/>
    </xf>
    <xf numFmtId="0" fontId="8" fillId="0" borderId="0" xfId="15" applyFont="1" applyAlignment="1">
      <alignment horizontal="center" wrapText="1"/>
    </xf>
    <xf numFmtId="0" fontId="7" fillId="2" borderId="2" xfId="15" applyFont="1" applyFill="1" applyBorder="1" applyAlignment="1" applyProtection="1">
      <alignment wrapText="1"/>
      <protection locked="0"/>
    </xf>
    <xf numFmtId="0" fontId="23" fillId="0" borderId="0" xfId="0" applyFont="1"/>
    <xf numFmtId="0" fontId="24" fillId="0" borderId="0" xfId="0" applyFont="1"/>
    <xf numFmtId="41" fontId="7" fillId="0" borderId="0" xfId="0" applyNumberFormat="1" applyFont="1" applyAlignment="1">
      <alignment horizontal="center"/>
    </xf>
    <xf numFmtId="0" fontId="24" fillId="0" borderId="0" xfId="0" applyFont="1" applyAlignment="1">
      <alignment horizontal="left"/>
    </xf>
    <xf numFmtId="168" fontId="24" fillId="0" borderId="0" xfId="0" applyNumberFormat="1" applyFont="1" applyAlignment="1">
      <alignment horizontal="left"/>
    </xf>
    <xf numFmtId="0" fontId="24" fillId="0" borderId="0" xfId="0" applyFont="1" applyAlignment="1">
      <alignment horizontal="center"/>
    </xf>
    <xf numFmtId="41" fontId="27" fillId="2" borderId="2" xfId="1" applyNumberFormat="1" applyFont="1" applyFill="1" applyBorder="1" applyProtection="1">
      <protection locked="0"/>
    </xf>
    <xf numFmtId="41" fontId="27" fillId="0" borderId="0" xfId="1" applyNumberFormat="1" applyFont="1" applyFill="1" applyBorder="1" applyProtection="1"/>
    <xf numFmtId="0" fontId="23" fillId="0" borderId="0" xfId="0" applyFont="1" applyAlignment="1">
      <alignment horizontal="left" vertical="top"/>
    </xf>
    <xf numFmtId="0" fontId="24" fillId="0" borderId="0" xfId="0" applyFont="1" applyAlignment="1">
      <alignment horizontal="right" vertical="top" wrapText="1"/>
    </xf>
    <xf numFmtId="0" fontId="23" fillId="0" borderId="0" xfId="0" applyFont="1" applyAlignment="1">
      <alignment horizontal="center"/>
    </xf>
    <xf numFmtId="42" fontId="27" fillId="0" borderId="0" xfId="1" applyNumberFormat="1" applyFont="1" applyFill="1" applyBorder="1" applyProtection="1"/>
    <xf numFmtId="41" fontId="24" fillId="0" borderId="2" xfId="0" applyNumberFormat="1" applyFont="1" applyBorder="1"/>
    <xf numFmtId="0" fontId="24" fillId="0" borderId="0" xfId="0" applyFont="1" applyAlignment="1">
      <alignment horizontal="right"/>
    </xf>
    <xf numFmtId="42" fontId="24" fillId="0" borderId="0" xfId="1" applyNumberFormat="1" applyFont="1" applyFill="1" applyBorder="1" applyProtection="1"/>
    <xf numFmtId="0" fontId="23" fillId="3" borderId="2" xfId="0" applyFont="1" applyFill="1" applyBorder="1" applyAlignment="1">
      <alignment horizontal="center"/>
    </xf>
    <xf numFmtId="0" fontId="25" fillId="0" borderId="0" xfId="0" applyFont="1"/>
    <xf numFmtId="0" fontId="24" fillId="2" borderId="2" xfId="0" applyFont="1" applyFill="1" applyBorder="1" applyAlignment="1" applyProtection="1">
      <alignment vertical="top" wrapText="1"/>
      <protection locked="0"/>
    </xf>
    <xf numFmtId="0" fontId="8" fillId="0" borderId="0" xfId="0" applyFont="1" applyAlignment="1">
      <alignment horizontal="center"/>
    </xf>
    <xf numFmtId="41" fontId="8" fillId="0" borderId="0" xfId="0" applyNumberFormat="1" applyFont="1" applyAlignment="1">
      <alignment horizontal="center"/>
    </xf>
    <xf numFmtId="41" fontId="8" fillId="0" borderId="5" xfId="0" applyNumberFormat="1" applyFont="1" applyBorder="1" applyAlignment="1">
      <alignment horizontal="center"/>
    </xf>
    <xf numFmtId="41" fontId="7" fillId="2" borderId="6" xfId="0" applyNumberFormat="1" applyFont="1" applyFill="1" applyBorder="1" applyProtection="1">
      <protection locked="0"/>
    </xf>
    <xf numFmtId="0" fontId="30" fillId="0" borderId="0" xfId="0" applyFont="1"/>
    <xf numFmtId="0" fontId="31" fillId="0" borderId="0" xfId="0" applyFont="1"/>
    <xf numFmtId="0" fontId="32" fillId="0" borderId="0" xfId="0" applyFont="1"/>
    <xf numFmtId="0" fontId="33" fillId="0" borderId="0" xfId="0" applyFont="1"/>
    <xf numFmtId="0" fontId="33" fillId="0" borderId="0" xfId="0" applyFont="1" applyAlignment="1">
      <alignment vertical="top"/>
    </xf>
    <xf numFmtId="0" fontId="32" fillId="0" borderId="0" xfId="0" applyFont="1" applyAlignment="1">
      <alignment horizontal="left"/>
    </xf>
    <xf numFmtId="0" fontId="32" fillId="0" borderId="0" xfId="0" applyFont="1" applyAlignment="1">
      <alignment vertical="top"/>
    </xf>
    <xf numFmtId="0" fontId="34" fillId="0" borderId="0" xfId="11" applyFont="1"/>
    <xf numFmtId="0" fontId="34" fillId="0" borderId="0" xfId="12" applyFont="1"/>
    <xf numFmtId="0" fontId="35" fillId="0" borderId="0" xfId="0" applyFont="1" applyAlignment="1">
      <alignment horizontal="right"/>
    </xf>
    <xf numFmtId="0" fontId="36" fillId="0" borderId="0" xfId="0" applyFont="1" applyAlignment="1">
      <alignment horizontal="right"/>
    </xf>
    <xf numFmtId="164" fontId="7" fillId="2" borderId="2" xfId="1" applyNumberFormat="1" applyFont="1" applyFill="1" applyBorder="1" applyAlignment="1" applyProtection="1">
      <alignment horizontal="center"/>
      <protection locked="0"/>
    </xf>
    <xf numFmtId="0" fontId="8" fillId="0" borderId="0" xfId="0" applyFont="1" applyAlignment="1">
      <alignment horizontal="center" vertical="top" wrapText="1"/>
    </xf>
    <xf numFmtId="0" fontId="23" fillId="0" borderId="0" xfId="0" applyFont="1" applyAlignment="1">
      <alignment wrapText="1"/>
    </xf>
    <xf numFmtId="0" fontId="23" fillId="0" borderId="5" xfId="0" applyFont="1" applyBorder="1" applyAlignment="1">
      <alignment wrapText="1"/>
    </xf>
    <xf numFmtId="168" fontId="24" fillId="0" borderId="5" xfId="0" applyNumberFormat="1" applyFont="1" applyBorder="1" applyAlignment="1">
      <alignment horizontal="left"/>
    </xf>
    <xf numFmtId="0" fontId="24" fillId="0" borderId="5" xfId="0" applyFont="1" applyBorder="1" applyAlignment="1">
      <alignment horizontal="left"/>
    </xf>
    <xf numFmtId="0" fontId="24" fillId="0" borderId="5" xfId="0" applyFont="1" applyBorder="1"/>
    <xf numFmtId="41" fontId="27" fillId="0" borderId="7" xfId="1" applyNumberFormat="1" applyFont="1" applyFill="1" applyBorder="1" applyProtection="1"/>
    <xf numFmtId="41" fontId="27" fillId="0" borderId="8" xfId="1" applyNumberFormat="1" applyFont="1" applyFill="1" applyBorder="1" applyProtection="1"/>
    <xf numFmtId="41" fontId="24" fillId="0" borderId="0" xfId="0" applyNumberFormat="1" applyFont="1"/>
    <xf numFmtId="37" fontId="24" fillId="0" borderId="0" xfId="10" applyFont="1"/>
    <xf numFmtId="37" fontId="24" fillId="0" borderId="9" xfId="10" applyFont="1" applyBorder="1"/>
    <xf numFmtId="37" fontId="24" fillId="0" borderId="3" xfId="10" applyFont="1" applyBorder="1"/>
    <xf numFmtId="37" fontId="24" fillId="0" borderId="10" xfId="10" applyFont="1" applyBorder="1"/>
    <xf numFmtId="37" fontId="24" fillId="0" borderId="11" xfId="10" applyFont="1" applyBorder="1"/>
    <xf numFmtId="37" fontId="24" fillId="0" borderId="12" xfId="10" applyFont="1" applyBorder="1"/>
    <xf numFmtId="37" fontId="24" fillId="0" borderId="13" xfId="10" applyFont="1" applyBorder="1"/>
    <xf numFmtId="3" fontId="24" fillId="0" borderId="0" xfId="10" quotePrefix="1" applyNumberFormat="1" applyFont="1"/>
    <xf numFmtId="37" fontId="24" fillId="0" borderId="0" xfId="10" quotePrefix="1" applyFont="1" applyAlignment="1">
      <alignment horizontal="right"/>
    </xf>
    <xf numFmtId="37" fontId="23" fillId="0" borderId="0" xfId="10" applyFont="1"/>
    <xf numFmtId="37" fontId="24" fillId="0" borderId="0" xfId="10" applyFont="1" applyAlignment="1">
      <alignment horizontal="right"/>
    </xf>
    <xf numFmtId="41" fontId="24" fillId="0" borderId="0" xfId="10" quotePrefix="1" applyNumberFormat="1" applyFont="1"/>
    <xf numFmtId="37" fontId="24" fillId="0" borderId="0" xfId="10" quotePrefix="1" applyFont="1"/>
    <xf numFmtId="49" fontId="24" fillId="2" borderId="2" xfId="10" applyNumberFormat="1" applyFont="1" applyFill="1" applyBorder="1" applyProtection="1">
      <protection locked="0"/>
    </xf>
    <xf numFmtId="49" fontId="24" fillId="0" borderId="0" xfId="10" applyNumberFormat="1" applyFont="1"/>
    <xf numFmtId="37" fontId="38" fillId="0" borderId="0" xfId="10" applyFont="1" applyAlignment="1">
      <alignment horizontal="right"/>
    </xf>
    <xf numFmtId="37" fontId="38" fillId="0" borderId="0" xfId="10" applyFont="1"/>
    <xf numFmtId="49" fontId="24" fillId="0" borderId="0" xfId="0" applyNumberFormat="1" applyFont="1"/>
    <xf numFmtId="0" fontId="8" fillId="0" borderId="0" xfId="20" applyFont="1"/>
    <xf numFmtId="164" fontId="7" fillId="0" borderId="0" xfId="1" applyNumberFormat="1" applyFont="1" applyBorder="1" applyProtection="1"/>
    <xf numFmtId="164" fontId="7" fillId="0" borderId="0" xfId="1" applyNumberFormat="1" applyFont="1" applyBorder="1" applyAlignment="1" applyProtection="1">
      <alignment horizontal="right"/>
    </xf>
    <xf numFmtId="164" fontId="7" fillId="0" borderId="0" xfId="1" applyNumberFormat="1" applyFont="1" applyFill="1" applyBorder="1" applyProtection="1"/>
    <xf numFmtId="41" fontId="27" fillId="0" borderId="2" xfId="1" applyNumberFormat="1" applyFont="1" applyFill="1" applyBorder="1" applyProtection="1"/>
    <xf numFmtId="3" fontId="24" fillId="0" borderId="0" xfId="10" applyNumberFormat="1" applyFont="1"/>
    <xf numFmtId="0" fontId="23" fillId="0" borderId="2" xfId="0" applyFont="1" applyBorder="1" applyAlignment="1">
      <alignment horizontal="center"/>
    </xf>
    <xf numFmtId="0" fontId="23" fillId="2" borderId="2" xfId="0" applyFont="1" applyFill="1" applyBorder="1" applyAlignment="1" applyProtection="1">
      <alignment horizontal="center" wrapText="1"/>
      <protection locked="0"/>
    </xf>
    <xf numFmtId="41" fontId="7" fillId="2" borderId="14" xfId="0" applyNumberFormat="1" applyFont="1" applyFill="1" applyBorder="1" applyProtection="1">
      <protection locked="0"/>
    </xf>
    <xf numFmtId="0" fontId="41" fillId="0" borderId="0" xfId="9" applyFont="1"/>
    <xf numFmtId="0" fontId="42" fillId="0" borderId="0" xfId="9" applyFont="1"/>
    <xf numFmtId="49" fontId="24" fillId="0" borderId="0" xfId="10" applyNumberFormat="1" applyFont="1" applyAlignment="1">
      <alignment horizontal="right"/>
    </xf>
    <xf numFmtId="0" fontId="7" fillId="0" borderId="0" xfId="0" applyFont="1" applyAlignment="1">
      <alignment horizontal="right"/>
    </xf>
    <xf numFmtId="0" fontId="24" fillId="0" borderId="0" xfId="9" applyFont="1"/>
    <xf numFmtId="0" fontId="23" fillId="0" borderId="0" xfId="9" applyFont="1" applyAlignment="1">
      <alignment horizontal="right"/>
    </xf>
    <xf numFmtId="0" fontId="31" fillId="0" borderId="0" xfId="16" applyFont="1" applyAlignment="1">
      <alignment horizontal="left" vertical="top"/>
    </xf>
    <xf numFmtId="0" fontId="32" fillId="0" borderId="0" xfId="21" applyFont="1"/>
    <xf numFmtId="38" fontId="32" fillId="0" borderId="0" xfId="21" applyNumberFormat="1" applyFont="1"/>
    <xf numFmtId="0" fontId="7" fillId="0" borderId="5" xfId="0" applyFont="1" applyBorder="1"/>
    <xf numFmtId="41" fontId="24" fillId="2" borderId="2" xfId="1" applyNumberFormat="1" applyFont="1" applyFill="1" applyBorder="1" applyAlignment="1" applyProtection="1">
      <alignment horizontal="right"/>
      <protection locked="0"/>
    </xf>
    <xf numFmtId="0" fontId="31" fillId="0" borderId="0" xfId="0" applyFont="1" applyAlignment="1">
      <alignment horizontal="left"/>
    </xf>
    <xf numFmtId="10" fontId="7" fillId="0" borderId="0" xfId="0" applyNumberFormat="1" applyFont="1" applyAlignment="1">
      <alignment horizontal="right"/>
    </xf>
    <xf numFmtId="0" fontId="31" fillId="0" borderId="0" xfId="0" applyFont="1" applyAlignment="1">
      <alignment horizontal="left" vertical="top"/>
    </xf>
    <xf numFmtId="0" fontId="8" fillId="0" borderId="0" xfId="20" applyFont="1" applyAlignment="1">
      <alignment horizontal="left" vertical="top" wrapText="1"/>
    </xf>
    <xf numFmtId="0" fontId="23" fillId="0" borderId="0" xfId="0" applyFont="1" applyAlignment="1">
      <alignment horizontal="left"/>
    </xf>
    <xf numFmtId="166" fontId="23" fillId="0" borderId="0" xfId="0" applyNumberFormat="1" applyFont="1" applyAlignment="1">
      <alignment horizontal="left"/>
    </xf>
    <xf numFmtId="0" fontId="8" fillId="0" borderId="0" xfId="20" applyFont="1" applyAlignment="1">
      <alignment vertical="center"/>
    </xf>
    <xf numFmtId="0" fontId="8" fillId="0" borderId="0" xfId="20" applyFont="1" applyAlignment="1">
      <alignment horizontal="centerContinuous" vertical="center"/>
    </xf>
    <xf numFmtId="0" fontId="7" fillId="0" borderId="0" xfId="20" applyFont="1" applyAlignment="1">
      <alignment vertical="center"/>
    </xf>
    <xf numFmtId="166" fontId="32" fillId="0" borderId="12" xfId="0" applyNumberFormat="1" applyFont="1" applyBorder="1" applyAlignment="1">
      <alignment horizontal="left"/>
    </xf>
    <xf numFmtId="0" fontId="32" fillId="0" borderId="12" xfId="0" applyFont="1" applyBorder="1"/>
    <xf numFmtId="0" fontId="7" fillId="0" borderId="12" xfId="20" applyFont="1" applyBorder="1" applyAlignment="1">
      <alignment vertical="center"/>
    </xf>
    <xf numFmtId="0" fontId="8" fillId="0" borderId="12" xfId="20" applyFont="1" applyBorder="1" applyAlignment="1">
      <alignment horizontal="centerContinuous" vertical="center"/>
    </xf>
    <xf numFmtId="0" fontId="24" fillId="0" borderId="0" xfId="0" applyFont="1" applyAlignment="1">
      <alignment wrapText="1"/>
    </xf>
    <xf numFmtId="0" fontId="46" fillId="0" borderId="0" xfId="0" applyFont="1"/>
    <xf numFmtId="0" fontId="47" fillId="0" borderId="0" xfId="0" applyFont="1" applyAlignment="1">
      <alignment horizontal="right"/>
    </xf>
    <xf numFmtId="41" fontId="47" fillId="0" borderId="0" xfId="0" applyNumberFormat="1" applyFont="1"/>
    <xf numFmtId="0" fontId="24" fillId="0" borderId="2" xfId="0" applyFont="1" applyBorder="1"/>
    <xf numFmtId="0" fontId="24" fillId="0" borderId="2" xfId="0" applyFont="1" applyBorder="1" applyAlignment="1">
      <alignment horizontal="center" wrapText="1"/>
    </xf>
    <xf numFmtId="0" fontId="0" fillId="0" borderId="0" xfId="0" applyAlignment="1">
      <alignment wrapText="1"/>
    </xf>
    <xf numFmtId="0" fontId="23" fillId="0" borderId="0" xfId="0" applyFont="1" applyAlignment="1">
      <alignment horizontal="left" wrapText="1"/>
    </xf>
    <xf numFmtId="0" fontId="6" fillId="0" borderId="0" xfId="0" applyFont="1"/>
    <xf numFmtId="0" fontId="32" fillId="0" borderId="0" xfId="0" applyFont="1" applyAlignment="1">
      <alignment horizontal="right"/>
    </xf>
    <xf numFmtId="0" fontId="48" fillId="0" borderId="0" xfId="0" applyFont="1"/>
    <xf numFmtId="0" fontId="23" fillId="0" borderId="12" xfId="0" applyFont="1" applyBorder="1"/>
    <xf numFmtId="0" fontId="33" fillId="0" borderId="12" xfId="0" applyFont="1" applyBorder="1" applyAlignment="1">
      <alignment horizontal="left"/>
    </xf>
    <xf numFmtId="10" fontId="7" fillId="0" borderId="3" xfId="0" applyNumberFormat="1" applyFont="1" applyBorder="1" applyAlignment="1">
      <alignment horizontal="right"/>
    </xf>
    <xf numFmtId="41" fontId="7" fillId="0" borderId="7" xfId="0" applyNumberFormat="1" applyFont="1" applyBorder="1"/>
    <xf numFmtId="41" fontId="7" fillId="2" borderId="15" xfId="0" applyNumberFormat="1" applyFont="1" applyFill="1" applyBorder="1" applyProtection="1">
      <protection locked="0"/>
    </xf>
    <xf numFmtId="41" fontId="19" fillId="0" borderId="0" xfId="0" applyNumberFormat="1" applyFont="1"/>
    <xf numFmtId="0" fontId="19" fillId="0" borderId="0" xfId="0" applyFont="1" applyAlignment="1">
      <alignment horizontal="right"/>
    </xf>
    <xf numFmtId="0" fontId="7" fillId="0" borderId="0" xfId="0" applyFont="1" applyAlignment="1">
      <alignment horizontal="center"/>
    </xf>
    <xf numFmtId="0" fontId="7" fillId="0" borderId="12" xfId="0" applyFont="1" applyBorder="1"/>
    <xf numFmtId="0" fontId="7" fillId="0" borderId="12" xfId="0" applyFont="1" applyBorder="1" applyAlignment="1">
      <alignment horizontal="center"/>
    </xf>
    <xf numFmtId="41" fontId="7" fillId="0" borderId="12" xfId="0" applyNumberFormat="1" applyFont="1" applyBorder="1"/>
    <xf numFmtId="0" fontId="8" fillId="0" borderId="0" xfId="21" applyFont="1" applyAlignment="1">
      <alignment horizontal="left" wrapText="1"/>
    </xf>
    <xf numFmtId="0" fontId="7" fillId="0" borderId="0" xfId="21" applyFont="1"/>
    <xf numFmtId="41" fontId="19" fillId="0" borderId="0" xfId="0" applyNumberFormat="1" applyFont="1" applyAlignment="1">
      <alignment horizontal="center"/>
    </xf>
    <xf numFmtId="0" fontId="7" fillId="0" borderId="0" xfId="0" applyFont="1" applyAlignment="1">
      <alignment horizontal="left" vertical="top" wrapText="1"/>
    </xf>
    <xf numFmtId="0" fontId="7" fillId="0" borderId="0" xfId="20" applyFont="1" applyAlignment="1">
      <alignment horizontal="left" vertical="top" wrapText="1"/>
    </xf>
    <xf numFmtId="166" fontId="8" fillId="0" borderId="0" xfId="0" applyNumberFormat="1" applyFont="1" applyAlignment="1">
      <alignment horizontal="left"/>
    </xf>
    <xf numFmtId="0" fontId="7" fillId="0" borderId="2" xfId="13" applyFont="1" applyBorder="1" applyAlignment="1">
      <alignment horizontal="center" wrapText="1"/>
    </xf>
    <xf numFmtId="0" fontId="7" fillId="0" borderId="0" xfId="13" applyFont="1"/>
    <xf numFmtId="0" fontId="7" fillId="0" borderId="0" xfId="0" applyFont="1" applyAlignment="1">
      <alignment horizontal="left" vertical="top"/>
    </xf>
    <xf numFmtId="0" fontId="8" fillId="0" borderId="0" xfId="0" applyFont="1" applyAlignment="1">
      <alignment horizontal="left"/>
    </xf>
    <xf numFmtId="166" fontId="7" fillId="0" borderId="0" xfId="0" applyNumberFormat="1" applyFont="1" applyAlignment="1">
      <alignment horizontal="left"/>
    </xf>
    <xf numFmtId="0" fontId="7" fillId="0" borderId="12" xfId="0" applyFont="1" applyBorder="1" applyAlignment="1">
      <alignment horizontal="left" vertical="top"/>
    </xf>
    <xf numFmtId="0" fontId="7" fillId="0" borderId="12" xfId="20" applyFont="1" applyBorder="1" applyAlignment="1">
      <alignment horizontal="left" vertical="top" wrapText="1"/>
    </xf>
    <xf numFmtId="0" fontId="7" fillId="0" borderId="0" xfId="0" applyFont="1" applyAlignment="1">
      <alignment horizontal="center" wrapText="1"/>
    </xf>
    <xf numFmtId="0" fontId="7" fillId="0" borderId="0" xfId="0" quotePrefix="1" applyFont="1" applyAlignment="1">
      <alignment horizontal="right"/>
    </xf>
    <xf numFmtId="41" fontId="7" fillId="0" borderId="7" xfId="1" applyNumberFormat="1" applyFont="1" applyBorder="1" applyAlignment="1" applyProtection="1">
      <alignment horizontal="right"/>
    </xf>
    <xf numFmtId="41" fontId="7" fillId="0" borderId="0" xfId="0" applyNumberFormat="1" applyFont="1" applyAlignment="1">
      <alignment horizontal="right"/>
    </xf>
    <xf numFmtId="164" fontId="7" fillId="0" borderId="0" xfId="1" applyNumberFormat="1" applyFont="1" applyProtection="1"/>
    <xf numFmtId="164" fontId="7" fillId="0" borderId="12" xfId="1" applyNumberFormat="1" applyFont="1" applyBorder="1" applyProtection="1"/>
    <xf numFmtId="41" fontId="24" fillId="0" borderId="10" xfId="0" applyNumberFormat="1" applyFont="1" applyBorder="1" applyAlignment="1">
      <alignment horizontal="center"/>
    </xf>
    <xf numFmtId="41" fontId="7" fillId="2" borderId="2" xfId="1" applyNumberFormat="1" applyFont="1" applyFill="1" applyBorder="1" applyAlignment="1" applyProtection="1">
      <alignment wrapText="1"/>
      <protection locked="0"/>
    </xf>
    <xf numFmtId="0" fontId="47" fillId="0" borderId="0" xfId="0" applyFont="1" applyAlignment="1">
      <alignment horizontal="center"/>
    </xf>
    <xf numFmtId="41" fontId="24" fillId="0" borderId="7" xfId="10" applyNumberFormat="1" applyFont="1" applyBorder="1"/>
    <xf numFmtId="41" fontId="24" fillId="2" borderId="2" xfId="10" applyNumberFormat="1" applyFont="1" applyFill="1" applyBorder="1" applyProtection="1">
      <protection locked="0"/>
    </xf>
    <xf numFmtId="41" fontId="24" fillId="2" borderId="2" xfId="10" quotePrefix="1" applyNumberFormat="1" applyFont="1" applyFill="1" applyBorder="1" applyProtection="1">
      <protection locked="0"/>
    </xf>
    <xf numFmtId="41" fontId="24" fillId="0" borderId="7" xfId="10" quotePrefix="1" applyNumberFormat="1" applyFont="1" applyBorder="1"/>
    <xf numFmtId="41" fontId="24" fillId="0" borderId="3" xfId="10" quotePrefix="1" applyNumberFormat="1" applyFont="1" applyBorder="1"/>
    <xf numFmtId="41" fontId="24" fillId="0" borderId="12" xfId="10" quotePrefix="1" applyNumberFormat="1" applyFont="1" applyBorder="1"/>
    <xf numFmtId="166" fontId="45" fillId="0" borderId="0" xfId="0" applyNumberFormat="1" applyFont="1" applyAlignment="1">
      <alignment horizontal="left"/>
    </xf>
    <xf numFmtId="166" fontId="7" fillId="0" borderId="12" xfId="0" applyNumberFormat="1" applyFont="1" applyBorder="1" applyAlignment="1">
      <alignment horizontal="left"/>
    </xf>
    <xf numFmtId="0" fontId="13" fillId="0" borderId="0" xfId="0" applyFont="1"/>
    <xf numFmtId="0" fontId="7" fillId="0" borderId="0" xfId="0" applyFont="1" applyAlignment="1">
      <alignment wrapText="1"/>
    </xf>
    <xf numFmtId="0" fontId="31" fillId="0" borderId="2" xfId="0" applyFont="1" applyBorder="1"/>
    <xf numFmtId="41" fontId="24" fillId="0" borderId="0" xfId="1" applyNumberFormat="1" applyFont="1" applyFill="1" applyBorder="1" applyAlignment="1" applyProtection="1">
      <alignment horizontal="right"/>
    </xf>
    <xf numFmtId="41" fontId="24" fillId="0" borderId="2" xfId="0" applyNumberFormat="1" applyFont="1" applyBorder="1" applyAlignment="1">
      <alignment horizontal="center"/>
    </xf>
    <xf numFmtId="166" fontId="32" fillId="0" borderId="0" xfId="0" applyNumberFormat="1" applyFont="1" applyAlignment="1">
      <alignment horizontal="left"/>
    </xf>
    <xf numFmtId="0" fontId="47" fillId="0" borderId="0" xfId="0" applyFont="1" applyAlignment="1">
      <alignment horizontal="right" wrapText="1"/>
    </xf>
    <xf numFmtId="41" fontId="47" fillId="0" borderId="0" xfId="1" applyNumberFormat="1" applyFont="1" applyBorder="1" applyProtection="1"/>
    <xf numFmtId="41" fontId="24" fillId="0" borderId="2" xfId="0" applyNumberFormat="1" applyFont="1" applyBorder="1" applyAlignment="1">
      <alignment horizontal="center" wrapText="1"/>
    </xf>
    <xf numFmtId="0" fontId="24" fillId="0" borderId="2" xfId="0" applyFont="1" applyBorder="1" applyAlignment="1">
      <alignment horizontal="center"/>
    </xf>
    <xf numFmtId="41" fontId="7" fillId="2" borderId="4" xfId="1" applyNumberFormat="1" applyFont="1" applyFill="1" applyBorder="1" applyAlignment="1" applyProtection="1">
      <alignment horizontal="right"/>
      <protection locked="0"/>
    </xf>
    <xf numFmtId="164" fontId="7" fillId="0" borderId="0" xfId="1" applyNumberFormat="1" applyFont="1" applyAlignment="1" applyProtection="1">
      <alignment vertical="center"/>
    </xf>
    <xf numFmtId="164" fontId="7" fillId="0" borderId="0" xfId="1" applyNumberFormat="1" applyFont="1" applyAlignment="1" applyProtection="1">
      <alignment horizontal="centerContinuous" vertical="center"/>
    </xf>
    <xf numFmtId="164" fontId="7" fillId="0" borderId="0" xfId="1" applyNumberFormat="1" applyFont="1" applyBorder="1" applyAlignment="1" applyProtection="1">
      <alignment horizontal="centerContinuous" vertical="center"/>
    </xf>
    <xf numFmtId="0" fontId="19" fillId="0" borderId="0" xfId="20" applyFont="1" applyAlignment="1">
      <alignment horizontal="center" vertical="center"/>
    </xf>
    <xf numFmtId="164" fontId="7" fillId="0" borderId="0" xfId="1" applyNumberFormat="1" applyFont="1" applyAlignment="1" applyProtection="1">
      <alignment horizontal="center"/>
    </xf>
    <xf numFmtId="41" fontId="7" fillId="0" borderId="0" xfId="20" applyNumberFormat="1" applyFont="1" applyAlignment="1">
      <alignment horizontal="right"/>
    </xf>
    <xf numFmtId="41" fontId="7" fillId="0" borderId="0" xfId="1" applyNumberFormat="1" applyFont="1" applyAlignment="1" applyProtection="1">
      <alignment horizontal="right"/>
    </xf>
    <xf numFmtId="41" fontId="7" fillId="0" borderId="12" xfId="20" applyNumberFormat="1" applyFont="1" applyBorder="1" applyAlignment="1">
      <alignment horizontal="right"/>
    </xf>
    <xf numFmtId="41" fontId="7" fillId="0" borderId="12" xfId="1" applyNumberFormat="1" applyFont="1" applyBorder="1" applyAlignment="1" applyProtection="1">
      <alignment horizontal="right"/>
    </xf>
    <xf numFmtId="41" fontId="7" fillId="0" borderId="12" xfId="1" applyNumberFormat="1" applyFont="1" applyBorder="1" applyAlignment="1" applyProtection="1">
      <alignment horizontal="left"/>
    </xf>
    <xf numFmtId="41" fontId="19" fillId="0" borderId="0" xfId="20" applyNumberFormat="1" applyFont="1"/>
    <xf numFmtId="164" fontId="13" fillId="0" borderId="0" xfId="1" applyNumberFormat="1" applyFont="1" applyBorder="1" applyAlignment="1" applyProtection="1">
      <alignment horizontal="right"/>
    </xf>
    <xf numFmtId="41" fontId="7" fillId="0" borderId="0" xfId="1" applyNumberFormat="1" applyFont="1" applyBorder="1" applyAlignment="1" applyProtection="1">
      <alignment horizontal="right"/>
    </xf>
    <xf numFmtId="0" fontId="7" fillId="0" borderId="12" xfId="20" applyFont="1" applyBorder="1"/>
    <xf numFmtId="0" fontId="7" fillId="0" borderId="8" xfId="20" applyFont="1" applyBorder="1"/>
    <xf numFmtId="41" fontId="7" fillId="0" borderId="8" xfId="1" applyNumberFormat="1" applyFont="1" applyBorder="1" applyProtection="1"/>
    <xf numFmtId="41" fontId="7" fillId="0" borderId="2" xfId="1" applyNumberFormat="1" applyFont="1" applyBorder="1" applyProtection="1"/>
    <xf numFmtId="164" fontId="7" fillId="0" borderId="0" xfId="1" applyNumberFormat="1" applyFont="1" applyFill="1" applyProtection="1"/>
    <xf numFmtId="0" fontId="7" fillId="0" borderId="0" xfId="20" applyFont="1" applyAlignment="1">
      <alignment horizontal="left" vertical="top"/>
    </xf>
    <xf numFmtId="0" fontId="25" fillId="0" borderId="0" xfId="20" applyFont="1"/>
    <xf numFmtId="0" fontId="7" fillId="0" borderId="17" xfId="20" applyFont="1" applyBorder="1"/>
    <xf numFmtId="0" fontId="7" fillId="0" borderId="16" xfId="20" applyFont="1" applyBorder="1"/>
    <xf numFmtId="164" fontId="7" fillId="0" borderId="16" xfId="1" applyNumberFormat="1" applyFont="1" applyBorder="1" applyProtection="1"/>
    <xf numFmtId="164" fontId="7" fillId="0" borderId="18" xfId="1" applyNumberFormat="1" applyFont="1" applyBorder="1" applyProtection="1"/>
    <xf numFmtId="0" fontId="7" fillId="0" borderId="19" xfId="20" applyFont="1" applyBorder="1"/>
    <xf numFmtId="164" fontId="7" fillId="0" borderId="0" xfId="1" applyNumberFormat="1" applyFont="1" applyBorder="1" applyAlignment="1" applyProtection="1">
      <alignment horizontal="center"/>
    </xf>
    <xf numFmtId="164" fontId="7" fillId="0" borderId="20" xfId="1" applyNumberFormat="1" applyFont="1" applyBorder="1" applyProtection="1"/>
    <xf numFmtId="0" fontId="7" fillId="0" borderId="19" xfId="0" applyFont="1" applyBorder="1"/>
    <xf numFmtId="0" fontId="7" fillId="0" borderId="20" xfId="0" applyFont="1" applyBorder="1"/>
    <xf numFmtId="0" fontId="7" fillId="0" borderId="11" xfId="0" applyFont="1" applyBorder="1"/>
    <xf numFmtId="0" fontId="7" fillId="0" borderId="13" xfId="0" applyFont="1" applyBorder="1"/>
    <xf numFmtId="164" fontId="7" fillId="2" borderId="2" xfId="1" applyNumberFormat="1" applyFont="1" applyFill="1" applyBorder="1" applyProtection="1"/>
    <xf numFmtId="0" fontId="7" fillId="2" borderId="2" xfId="1" applyNumberFormat="1" applyFont="1" applyFill="1" applyBorder="1" applyProtection="1">
      <protection locked="0"/>
    </xf>
    <xf numFmtId="0" fontId="7" fillId="2" borderId="2" xfId="0" applyFont="1" applyFill="1" applyBorder="1" applyProtection="1">
      <protection locked="0"/>
    </xf>
    <xf numFmtId="0" fontId="7" fillId="0" borderId="12" xfId="0" applyFont="1" applyBorder="1" applyAlignment="1">
      <alignment horizontal="left" vertical="top" wrapText="1"/>
    </xf>
    <xf numFmtId="164" fontId="8" fillId="0" borderId="0" xfId="1" applyNumberFormat="1" applyFont="1" applyFill="1" applyAlignment="1" applyProtection="1">
      <alignment horizontal="centerContinuous" vertical="center"/>
    </xf>
    <xf numFmtId="0" fontId="7" fillId="0" borderId="12" xfId="0" applyFont="1" applyBorder="1" applyAlignment="1">
      <alignment horizontal="center" wrapText="1"/>
    </xf>
    <xf numFmtId="0" fontId="19" fillId="0" borderId="0" xfId="0" applyFont="1" applyAlignment="1">
      <alignment horizontal="center" wrapText="1"/>
    </xf>
    <xf numFmtId="41" fontId="7" fillId="0" borderId="2" xfId="1" applyNumberFormat="1" applyFont="1" applyFill="1" applyBorder="1" applyProtection="1"/>
    <xf numFmtId="0" fontId="8" fillId="0" borderId="12" xfId="0" applyFont="1" applyBorder="1"/>
    <xf numFmtId="41" fontId="7" fillId="0" borderId="12" xfId="0" applyNumberFormat="1" applyFont="1" applyBorder="1" applyAlignment="1">
      <alignment horizontal="center"/>
    </xf>
    <xf numFmtId="41" fontId="7" fillId="0" borderId="2" xfId="0" applyNumberFormat="1" applyFont="1" applyBorder="1"/>
    <xf numFmtId="0" fontId="17" fillId="0" borderId="0" xfId="0" applyFont="1"/>
    <xf numFmtId="0" fontId="7" fillId="0" borderId="0" xfId="0" applyFont="1" applyAlignment="1">
      <alignment horizontal="right" wrapText="1"/>
    </xf>
    <xf numFmtId="41" fontId="7" fillId="0" borderId="8" xfId="0" applyNumberFormat="1" applyFont="1" applyBorder="1"/>
    <xf numFmtId="41" fontId="7" fillId="0" borderId="8" xfId="1" applyNumberFormat="1" applyFont="1" applyBorder="1" applyAlignment="1" applyProtection="1">
      <alignment horizontal="right"/>
    </xf>
    <xf numFmtId="0" fontId="15" fillId="0" borderId="12" xfId="0" applyFont="1" applyBorder="1" applyAlignment="1">
      <alignment horizontal="center"/>
    </xf>
    <xf numFmtId="0" fontId="7" fillId="0" borderId="0" xfId="0" applyFont="1" applyAlignment="1">
      <alignment horizontal="left" wrapText="1"/>
    </xf>
    <xf numFmtId="41" fontId="7" fillId="0" borderId="8" xfId="0" applyNumberFormat="1" applyFont="1" applyBorder="1" applyAlignment="1">
      <alignment horizontal="right"/>
    </xf>
    <xf numFmtId="0" fontId="15" fillId="0" borderId="0" xfId="0" applyFont="1"/>
    <xf numFmtId="41" fontId="19" fillId="0" borderId="0" xfId="1" applyNumberFormat="1" applyFont="1" applyBorder="1" applyAlignment="1" applyProtection="1">
      <alignment horizontal="right"/>
    </xf>
    <xf numFmtId="0" fontId="8" fillId="0" borderId="0" xfId="0" applyFont="1" applyAlignment="1">
      <alignment horizontal="left" vertical="top" wrapText="1"/>
    </xf>
    <xf numFmtId="0" fontId="7" fillId="2" borderId="2" xfId="0" applyFont="1" applyFill="1" applyBorder="1" applyAlignment="1" applyProtection="1">
      <alignment wrapText="1"/>
      <protection locked="0"/>
    </xf>
    <xf numFmtId="0" fontId="40" fillId="0" borderId="0" xfId="0" applyFont="1"/>
    <xf numFmtId="41" fontId="49" fillId="0" borderId="0" xfId="0" applyNumberFormat="1" applyFont="1"/>
    <xf numFmtId="0" fontId="23" fillId="0" borderId="0" xfId="0" applyFont="1" applyAlignment="1">
      <alignment horizontal="center" wrapText="1"/>
    </xf>
    <xf numFmtId="41" fontId="24" fillId="2" borderId="2" xfId="0" applyNumberFormat="1" applyFont="1" applyFill="1" applyBorder="1" applyProtection="1">
      <protection locked="0"/>
    </xf>
    <xf numFmtId="0" fontId="32" fillId="0" borderId="5" xfId="0" applyFont="1" applyBorder="1"/>
    <xf numFmtId="41" fontId="7" fillId="0" borderId="4" xfId="0" applyNumberFormat="1" applyFont="1" applyBorder="1"/>
    <xf numFmtId="41" fontId="7" fillId="0" borderId="4" xfId="1" applyNumberFormat="1" applyFont="1" applyBorder="1" applyProtection="1"/>
    <xf numFmtId="0" fontId="7" fillId="0" borderId="0" xfId="0" applyFont="1" applyAlignment="1">
      <alignment vertical="top" wrapText="1"/>
    </xf>
    <xf numFmtId="0" fontId="49" fillId="0" borderId="0" xfId="0" applyFont="1" applyAlignment="1">
      <alignment horizontal="center"/>
    </xf>
    <xf numFmtId="0" fontId="7" fillId="2" borderId="2" xfId="0" applyFont="1" applyFill="1" applyBorder="1" applyAlignment="1" applyProtection="1">
      <alignment vertical="top" wrapText="1"/>
      <protection locked="0"/>
    </xf>
    <xf numFmtId="180" fontId="24" fillId="2" borderId="2" xfId="0" applyNumberFormat="1" applyFont="1" applyFill="1" applyBorder="1" applyProtection="1">
      <protection locked="0"/>
    </xf>
    <xf numFmtId="180" fontId="7" fillId="2" borderId="2" xfId="15" applyNumberFormat="1" applyFont="1" applyFill="1" applyBorder="1" applyAlignment="1" applyProtection="1">
      <alignment horizontal="center"/>
      <protection locked="0"/>
    </xf>
    <xf numFmtId="41" fontId="7" fillId="0" borderId="7" xfId="1" applyNumberFormat="1" applyFont="1" applyBorder="1" applyProtection="1"/>
    <xf numFmtId="41" fontId="7" fillId="0" borderId="0" xfId="1" applyNumberFormat="1" applyFont="1" applyFill="1" applyBorder="1" applyProtection="1"/>
    <xf numFmtId="41" fontId="19" fillId="0" borderId="0" xfId="0" applyNumberFormat="1" applyFont="1" applyAlignment="1">
      <alignment horizontal="center" wrapText="1"/>
    </xf>
    <xf numFmtId="41" fontId="24" fillId="0" borderId="7" xfId="1" applyNumberFormat="1" applyFont="1" applyFill="1" applyBorder="1" applyAlignment="1" applyProtection="1">
      <alignment horizontal="right"/>
    </xf>
    <xf numFmtId="164" fontId="24" fillId="0" borderId="0" xfId="1" applyNumberFormat="1" applyFont="1" applyFill="1" applyBorder="1" applyAlignment="1" applyProtection="1">
      <alignment horizontal="right"/>
    </xf>
    <xf numFmtId="0" fontId="25" fillId="0" borderId="19" xfId="0" applyFont="1" applyBorder="1"/>
    <xf numFmtId="0" fontId="7" fillId="0" borderId="0" xfId="20" applyFont="1" applyAlignment="1">
      <alignment horizontal="left" indent="1"/>
    </xf>
    <xf numFmtId="0" fontId="7" fillId="0" borderId="0" xfId="20" applyFont="1" applyAlignment="1">
      <alignment horizontal="left" wrapText="1" indent="1"/>
    </xf>
    <xf numFmtId="0" fontId="7" fillId="0" borderId="0" xfId="20" applyFont="1" applyAlignment="1" applyProtection="1">
      <alignment horizontal="left" indent="2"/>
      <protection locked="0"/>
    </xf>
    <xf numFmtId="41" fontId="7" fillId="0" borderId="0" xfId="1" applyNumberFormat="1" applyFont="1" applyBorder="1" applyProtection="1"/>
    <xf numFmtId="41" fontId="7" fillId="0" borderId="0" xfId="1" applyNumberFormat="1" applyFont="1" applyFill="1" applyBorder="1" applyAlignment="1" applyProtection="1">
      <alignment horizontal="right"/>
    </xf>
    <xf numFmtId="10" fontId="7" fillId="0" borderId="7" xfId="0" applyNumberFormat="1" applyFont="1" applyBorder="1" applyAlignment="1">
      <alignment horizontal="right"/>
    </xf>
    <xf numFmtId="0" fontId="32" fillId="0" borderId="0" xfId="0" applyFont="1" applyAlignment="1">
      <alignment vertical="top" wrapText="1"/>
    </xf>
    <xf numFmtId="41" fontId="7" fillId="0" borderId="16" xfId="1" applyNumberFormat="1" applyFont="1" applyFill="1" applyBorder="1" applyAlignment="1" applyProtection="1">
      <alignment horizontal="right"/>
    </xf>
    <xf numFmtId="0" fontId="7" fillId="0" borderId="0" xfId="1" applyNumberFormat="1" applyFont="1" applyFill="1" applyBorder="1" applyProtection="1"/>
    <xf numFmtId="49" fontId="24" fillId="2" borderId="2" xfId="0" applyNumberFormat="1" applyFont="1" applyFill="1" applyBorder="1" applyAlignment="1" applyProtection="1">
      <alignment horizontal="left" wrapText="1"/>
      <protection locked="0"/>
    </xf>
    <xf numFmtId="41" fontId="32" fillId="2" borderId="2" xfId="0" applyNumberFormat="1" applyFont="1" applyFill="1" applyBorder="1" applyProtection="1">
      <protection locked="0"/>
    </xf>
    <xf numFmtId="49" fontId="57" fillId="2" borderId="2" xfId="14" applyNumberFormat="1" applyFont="1" applyFill="1" applyBorder="1" applyAlignment="1" applyProtection="1">
      <alignment horizontal="center" wrapText="1"/>
      <protection locked="0"/>
    </xf>
    <xf numFmtId="0" fontId="54" fillId="0" borderId="0" xfId="0" applyFont="1" applyAlignment="1">
      <alignment horizontal="right"/>
    </xf>
    <xf numFmtId="0" fontId="54" fillId="0" borderId="0" xfId="0" applyFont="1"/>
    <xf numFmtId="0" fontId="54" fillId="0" borderId="0" xfId="0" applyFont="1" applyAlignment="1">
      <alignment horizontal="center"/>
    </xf>
    <xf numFmtId="0" fontId="54" fillId="0" borderId="0" xfId="0" applyFont="1" applyAlignment="1">
      <alignment horizontal="left"/>
    </xf>
    <xf numFmtId="0" fontId="54" fillId="0" borderId="0" xfId="0" applyFont="1" applyAlignment="1">
      <alignment wrapText="1"/>
    </xf>
    <xf numFmtId="41" fontId="40" fillId="0" borderId="0" xfId="0" applyNumberFormat="1" applyFont="1" applyAlignment="1">
      <alignment wrapText="1"/>
    </xf>
    <xf numFmtId="41" fontId="40" fillId="2" borderId="2" xfId="0" applyNumberFormat="1" applyFont="1" applyFill="1" applyBorder="1" applyAlignment="1" applyProtection="1">
      <alignment wrapText="1"/>
      <protection locked="0"/>
    </xf>
    <xf numFmtId="41" fontId="40" fillId="0" borderId="2" xfId="0" applyNumberFormat="1" applyFont="1" applyBorder="1" applyAlignment="1">
      <alignment wrapText="1"/>
    </xf>
    <xf numFmtId="0" fontId="7" fillId="0" borderId="0" xfId="20" applyFont="1" applyAlignment="1">
      <alignment horizontal="left" indent="2"/>
    </xf>
    <xf numFmtId="0" fontId="7" fillId="0" borderId="2" xfId="21" applyFont="1" applyBorder="1" applyAlignment="1">
      <alignment horizontal="center" wrapText="1"/>
    </xf>
    <xf numFmtId="38" fontId="7" fillId="2" borderId="2" xfId="21" applyNumberFormat="1" applyFont="1" applyFill="1" applyBorder="1" applyAlignment="1" applyProtection="1">
      <alignment wrapText="1"/>
      <protection locked="0"/>
    </xf>
    <xf numFmtId="41" fontId="7" fillId="2" borderId="2" xfId="21" applyNumberFormat="1" applyFont="1" applyFill="1" applyBorder="1" applyProtection="1">
      <protection locked="0"/>
    </xf>
    <xf numFmtId="0" fontId="26" fillId="0" borderId="0" xfId="0" applyFont="1"/>
    <xf numFmtId="38" fontId="7" fillId="0" borderId="0" xfId="21" applyNumberFormat="1" applyFont="1"/>
    <xf numFmtId="0" fontId="8" fillId="0" borderId="0" xfId="21" applyFont="1"/>
    <xf numFmtId="42" fontId="7" fillId="0" borderId="7" xfId="21" applyNumberFormat="1" applyFont="1" applyBorder="1" applyAlignment="1">
      <alignment horizontal="right"/>
    </xf>
    <xf numFmtId="0" fontId="7" fillId="0" borderId="17" xfId="0" applyFont="1" applyBorder="1"/>
    <xf numFmtId="0" fontId="7" fillId="0" borderId="16" xfId="0" applyFont="1" applyBorder="1"/>
    <xf numFmtId="0" fontId="7" fillId="0" borderId="18" xfId="0" applyFont="1" applyBorder="1"/>
    <xf numFmtId="0" fontId="23" fillId="0" borderId="19" xfId="0" applyFont="1" applyBorder="1"/>
    <xf numFmtId="0" fontId="7" fillId="0" borderId="20" xfId="0" applyFont="1" applyBorder="1" applyAlignment="1">
      <alignment horizontal="center"/>
    </xf>
    <xf numFmtId="164" fontId="7" fillId="0" borderId="20" xfId="1" applyNumberFormat="1" applyFont="1" applyFill="1" applyBorder="1" applyProtection="1"/>
    <xf numFmtId="0" fontId="24" fillId="0" borderId="11" xfId="0" applyFont="1" applyBorder="1"/>
    <xf numFmtId="0" fontId="24" fillId="0" borderId="12" xfId="0" applyFont="1" applyBorder="1"/>
    <xf numFmtId="0" fontId="24" fillId="0" borderId="13" xfId="0" applyFont="1" applyBorder="1"/>
    <xf numFmtId="41" fontId="7" fillId="0" borderId="4" xfId="1" applyNumberFormat="1" applyFont="1" applyFill="1" applyBorder="1" applyProtection="1"/>
    <xf numFmtId="41" fontId="7" fillId="2" borderId="6" xfId="1" applyNumberFormat="1" applyFont="1" applyFill="1" applyBorder="1" applyProtection="1">
      <protection locked="0"/>
    </xf>
    <xf numFmtId="41" fontId="7" fillId="0" borderId="6" xfId="1" applyNumberFormat="1" applyFont="1" applyFill="1" applyBorder="1" applyProtection="1"/>
    <xf numFmtId="0" fontId="31" fillId="0" borderId="5" xfId="0" applyFont="1" applyBorder="1"/>
    <xf numFmtId="41" fontId="60" fillId="0" borderId="0" xfId="0" applyNumberFormat="1" applyFont="1" applyAlignment="1">
      <alignment horizontal="center" wrapText="1"/>
    </xf>
    <xf numFmtId="164" fontId="7" fillId="2" borderId="2" xfId="1" applyNumberFormat="1" applyFont="1" applyFill="1" applyBorder="1" applyAlignment="1" applyProtection="1">
      <alignment horizontal="center" vertical="center"/>
      <protection locked="0"/>
    </xf>
    <xf numFmtId="0" fontId="24" fillId="0" borderId="2" xfId="0" applyFont="1" applyBorder="1" applyAlignment="1">
      <alignment vertical="top" wrapText="1"/>
    </xf>
    <xf numFmtId="0" fontId="24" fillId="0" borderId="9" xfId="0" applyFont="1" applyBorder="1" applyAlignment="1">
      <alignment vertical="top" wrapText="1"/>
    </xf>
    <xf numFmtId="0" fontId="24" fillId="5" borderId="2" xfId="0" applyFont="1" applyFill="1" applyBorder="1" applyAlignment="1" applyProtection="1">
      <alignment vertical="top" wrapText="1"/>
      <protection locked="0"/>
    </xf>
    <xf numFmtId="0" fontId="24" fillId="0" borderId="9" xfId="0" applyFont="1" applyBorder="1"/>
    <xf numFmtId="0" fontId="24" fillId="2" borderId="6" xfId="0" applyFont="1" applyFill="1" applyBorder="1" applyAlignment="1" applyProtection="1">
      <alignment vertical="top" wrapText="1"/>
      <protection locked="0"/>
    </xf>
    <xf numFmtId="0" fontId="24" fillId="0" borderId="11" xfId="0" applyFont="1" applyBorder="1" applyAlignment="1">
      <alignment vertical="top" wrapText="1"/>
    </xf>
    <xf numFmtId="41" fontId="24" fillId="2" borderId="14" xfId="1" applyNumberFormat="1" applyFont="1" applyFill="1" applyBorder="1" applyAlignment="1" applyProtection="1">
      <alignment horizontal="right"/>
      <protection locked="0"/>
    </xf>
    <xf numFmtId="0" fontId="24" fillId="0" borderId="0" xfId="9" applyFont="1" applyAlignment="1">
      <alignment horizontal="center" wrapText="1"/>
    </xf>
    <xf numFmtId="0" fontId="24" fillId="0" borderId="0" xfId="0" applyFont="1" applyAlignment="1">
      <alignment horizontal="center" vertical="top" wrapText="1"/>
    </xf>
    <xf numFmtId="0" fontId="24" fillId="2" borderId="2" xfId="0" applyFont="1" applyFill="1" applyBorder="1" applyAlignment="1" applyProtection="1">
      <alignment horizontal="center" vertical="center" wrapText="1"/>
      <protection locked="0"/>
    </xf>
    <xf numFmtId="0" fontId="23" fillId="0" borderId="0" xfId="0" applyFont="1" applyAlignment="1">
      <alignment vertical="top" wrapText="1"/>
    </xf>
    <xf numFmtId="0" fontId="24" fillId="0" borderId="0" xfId="0" applyFont="1" applyAlignment="1">
      <alignment vertical="top" wrapText="1"/>
    </xf>
    <xf numFmtId="0" fontId="24" fillId="0" borderId="0" xfId="9" applyFont="1" applyAlignment="1">
      <alignment horizontal="justify" wrapText="1"/>
    </xf>
    <xf numFmtId="0" fontId="24" fillId="0" borderId="0" xfId="16" applyFont="1" applyAlignment="1">
      <alignment horizontal="right" vertical="top"/>
    </xf>
    <xf numFmtId="180" fontId="24" fillId="0" borderId="0" xfId="0" applyNumberFormat="1" applyFont="1"/>
    <xf numFmtId="0" fontId="24" fillId="0" borderId="0" xfId="17" applyFont="1"/>
    <xf numFmtId="0" fontId="24" fillId="2" borderId="2" xfId="0" applyFont="1" applyFill="1" applyBorder="1" applyAlignment="1" applyProtection="1">
      <alignment horizontal="center"/>
      <protection locked="0"/>
    </xf>
    <xf numFmtId="0" fontId="62" fillId="0" borderId="0" xfId="0" applyFont="1"/>
    <xf numFmtId="0" fontId="8" fillId="0" borderId="5" xfId="0" applyFont="1" applyBorder="1" applyAlignment="1">
      <alignment horizontal="center"/>
    </xf>
    <xf numFmtId="0" fontId="32" fillId="0" borderId="0" xfId="0" applyFont="1" applyAlignment="1">
      <alignment horizontal="left" vertical="top" wrapText="1"/>
    </xf>
    <xf numFmtId="164" fontId="7" fillId="0" borderId="0" xfId="1" applyNumberFormat="1" applyFont="1" applyBorder="1" applyAlignment="1" applyProtection="1">
      <alignment horizontal="center" vertical="center"/>
    </xf>
    <xf numFmtId="41" fontId="60" fillId="6" borderId="0" xfId="0" applyNumberFormat="1" applyFont="1" applyFill="1" applyAlignment="1">
      <alignment horizontal="center" wrapText="1"/>
    </xf>
    <xf numFmtId="0" fontId="24" fillId="0" borderId="3" xfId="0" applyFont="1" applyBorder="1" applyAlignment="1">
      <alignment vertical="top" wrapText="1"/>
    </xf>
    <xf numFmtId="41" fontId="24" fillId="0" borderId="3" xfId="1" applyNumberFormat="1" applyFont="1" applyFill="1" applyBorder="1" applyAlignment="1" applyProtection="1">
      <alignment horizontal="right"/>
    </xf>
    <xf numFmtId="181" fontId="8" fillId="0" borderId="0" xfId="0" applyNumberFormat="1" applyFont="1" applyAlignment="1">
      <alignment horizontal="left" vertical="top" wrapText="1"/>
    </xf>
    <xf numFmtId="0" fontId="50" fillId="0" borderId="0" xfId="0" applyFont="1" applyAlignment="1">
      <alignment horizontal="left" vertical="top" wrapText="1"/>
    </xf>
    <xf numFmtId="180" fontId="8" fillId="0" borderId="0" xfId="20" applyNumberFormat="1" applyFont="1" applyAlignment="1">
      <alignment horizontal="left" vertical="top" wrapText="1"/>
    </xf>
    <xf numFmtId="14" fontId="24" fillId="0" borderId="0" xfId="0" applyNumberFormat="1" applyFont="1" applyAlignment="1">
      <alignment vertical="top" wrapText="1"/>
    </xf>
    <xf numFmtId="41" fontId="0" fillId="0" borderId="0" xfId="0" applyNumberFormat="1" applyAlignment="1">
      <alignment wrapText="1"/>
    </xf>
    <xf numFmtId="49" fontId="7" fillId="0" borderId="0" xfId="0" applyNumberFormat="1" applyFont="1" applyAlignment="1">
      <alignment horizontal="left"/>
    </xf>
    <xf numFmtId="0" fontId="7" fillId="0" borderId="0" xfId="19" applyFont="1"/>
    <xf numFmtId="49" fontId="7" fillId="0" borderId="0" xfId="19" applyNumberFormat="1" applyFont="1" applyAlignment="1">
      <alignment horizontal="left"/>
    </xf>
    <xf numFmtId="0" fontId="24" fillId="0" borderId="0" xfId="0" applyFont="1" applyAlignment="1">
      <alignment horizontal="left" vertical="top" wrapText="1"/>
    </xf>
    <xf numFmtId="37" fontId="24" fillId="0" borderId="0" xfId="38" applyFont="1"/>
    <xf numFmtId="0" fontId="24" fillId="2" borderId="2" xfId="16"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top" wrapText="1"/>
      <protection locked="0"/>
    </xf>
    <xf numFmtId="41" fontId="24" fillId="0" borderId="0" xfId="1" applyNumberFormat="1" applyFont="1" applyProtection="1"/>
    <xf numFmtId="41" fontId="24" fillId="0" borderId="0" xfId="1" applyNumberFormat="1" applyFont="1" applyFill="1" applyProtection="1"/>
    <xf numFmtId="0" fontId="66" fillId="0" borderId="0" xfId="0" applyFont="1"/>
    <xf numFmtId="0" fontId="67" fillId="0" borderId="0" xfId="8" applyFont="1" applyAlignment="1" applyProtection="1"/>
    <xf numFmtId="41" fontId="69" fillId="8" borderId="0" xfId="0" applyNumberFormat="1" applyFont="1" applyFill="1" applyAlignment="1">
      <alignment horizontal="center"/>
    </xf>
    <xf numFmtId="41" fontId="7" fillId="8" borderId="2" xfId="0" applyNumberFormat="1" applyFont="1" applyFill="1" applyBorder="1"/>
    <xf numFmtId="42" fontId="7" fillId="0" borderId="7" xfId="39" applyNumberFormat="1" applyFont="1" applyFill="1" applyBorder="1" applyAlignment="1" applyProtection="1">
      <alignment horizontal="right"/>
    </xf>
    <xf numFmtId="0" fontId="24" fillId="0" borderId="20" xfId="9" applyFont="1" applyBorder="1" applyAlignment="1">
      <alignment horizontal="center" vertical="top" wrapText="1"/>
    </xf>
    <xf numFmtId="0" fontId="73" fillId="0" borderId="0" xfId="0" applyFont="1"/>
    <xf numFmtId="0" fontId="26" fillId="0" borderId="0" xfId="9" applyFont="1" applyAlignment="1">
      <alignment horizontal="center"/>
    </xf>
    <xf numFmtId="0" fontId="61" fillId="0" borderId="0" xfId="0" applyFont="1" applyAlignment="1">
      <alignment horizontal="right"/>
    </xf>
    <xf numFmtId="41" fontId="61" fillId="0" borderId="0" xfId="0" applyNumberFormat="1" applyFont="1" applyAlignment="1">
      <alignment horizontal="right"/>
    </xf>
    <xf numFmtId="41" fontId="35" fillId="0" borderId="0" xfId="0" applyNumberFormat="1" applyFont="1" applyAlignment="1">
      <alignment horizontal="right"/>
    </xf>
    <xf numFmtId="0" fontId="74" fillId="0" borderId="0" xfId="0" applyFont="1" applyAlignment="1">
      <alignment horizontal="center"/>
    </xf>
    <xf numFmtId="38" fontId="7" fillId="0" borderId="0" xfId="21" applyNumberFormat="1" applyFont="1" applyAlignment="1">
      <alignment horizontal="center" wrapText="1"/>
    </xf>
    <xf numFmtId="38" fontId="7" fillId="0" borderId="0" xfId="21" applyNumberFormat="1" applyFont="1" applyAlignment="1">
      <alignment wrapText="1"/>
    </xf>
    <xf numFmtId="10" fontId="7" fillId="5" borderId="2" xfId="0" applyNumberFormat="1" applyFont="1" applyFill="1" applyBorder="1" applyProtection="1">
      <protection locked="0"/>
    </xf>
    <xf numFmtId="166" fontId="57" fillId="2" borderId="2" xfId="14" applyNumberFormat="1" applyFont="1" applyFill="1" applyBorder="1" applyAlignment="1" applyProtection="1">
      <alignment horizontal="center" vertical="center" wrapText="1"/>
      <protection locked="0"/>
    </xf>
    <xf numFmtId="38" fontId="7" fillId="0" borderId="12" xfId="21" applyNumberFormat="1" applyFont="1" applyBorder="1" applyAlignment="1">
      <alignment horizontal="center" wrapText="1"/>
    </xf>
    <xf numFmtId="41" fontId="60" fillId="9" borderId="0" xfId="0" applyNumberFormat="1" applyFont="1" applyFill="1" applyAlignment="1">
      <alignment horizontal="center" wrapText="1"/>
    </xf>
    <xf numFmtId="41" fontId="60" fillId="10" borderId="0" xfId="0" applyNumberFormat="1" applyFont="1" applyFill="1" applyAlignment="1">
      <alignment horizontal="center" wrapText="1"/>
    </xf>
    <xf numFmtId="41" fontId="60" fillId="12" borderId="0" xfId="0" applyNumberFormat="1" applyFont="1" applyFill="1" applyAlignment="1">
      <alignment horizontal="center" wrapText="1"/>
    </xf>
    <xf numFmtId="41" fontId="60" fillId="11" borderId="0" xfId="0" applyNumberFormat="1" applyFont="1" applyFill="1" applyAlignment="1">
      <alignment horizontal="center" wrapText="1"/>
    </xf>
    <xf numFmtId="0" fontId="8" fillId="2" borderId="2" xfId="0" applyFont="1" applyFill="1" applyBorder="1" applyAlignment="1" applyProtection="1">
      <alignment horizontal="center" vertical="center" wrapText="1"/>
      <protection locked="0"/>
    </xf>
    <xf numFmtId="0" fontId="32" fillId="0" borderId="0" xfId="0" applyFont="1" applyAlignment="1">
      <alignment horizontal="left" wrapText="1"/>
    </xf>
    <xf numFmtId="0" fontId="31" fillId="0" borderId="16" xfId="0" applyFont="1" applyBorder="1"/>
    <xf numFmtId="0" fontId="67" fillId="0" borderId="0" xfId="8" applyFont="1" applyBorder="1" applyAlignment="1" applyProtection="1">
      <alignment horizontal="left" vertical="center"/>
    </xf>
    <xf numFmtId="0" fontId="67" fillId="0" borderId="20" xfId="8" applyFont="1" applyBorder="1" applyAlignment="1" applyProtection="1">
      <alignment horizontal="left" vertical="center"/>
    </xf>
    <xf numFmtId="0" fontId="38" fillId="0" borderId="0" xfId="0" applyFont="1" applyAlignment="1">
      <alignment vertical="top"/>
    </xf>
    <xf numFmtId="0" fontId="38" fillId="0" borderId="0" xfId="0" applyFont="1"/>
    <xf numFmtId="41" fontId="27" fillId="2" borderId="2" xfId="1" applyNumberFormat="1" applyFont="1" applyFill="1" applyBorder="1" applyAlignment="1" applyProtection="1">
      <alignment horizontal="center"/>
      <protection locked="0"/>
    </xf>
    <xf numFmtId="3" fontId="24" fillId="0" borderId="0" xfId="38" applyNumberFormat="1" applyFont="1" applyAlignment="1">
      <alignment wrapText="1"/>
    </xf>
    <xf numFmtId="41" fontId="23" fillId="0" borderId="0" xfId="0" applyNumberFormat="1" applyFont="1" applyAlignment="1">
      <alignment horizontal="center"/>
    </xf>
    <xf numFmtId="0" fontId="24" fillId="5" borderId="2" xfId="0" applyFont="1" applyFill="1" applyBorder="1" applyAlignment="1" applyProtection="1">
      <alignment wrapText="1"/>
      <protection locked="0"/>
    </xf>
    <xf numFmtId="49" fontId="24" fillId="0" borderId="0" xfId="38" applyNumberFormat="1" applyFont="1" applyAlignment="1">
      <alignment wrapText="1"/>
    </xf>
    <xf numFmtId="0" fontId="24" fillId="0" borderId="20" xfId="0" applyFont="1" applyBorder="1" applyAlignment="1">
      <alignment wrapText="1"/>
    </xf>
    <xf numFmtId="0" fontId="47" fillId="0" borderId="0" xfId="0" applyFont="1" applyAlignment="1">
      <alignment horizontal="left"/>
    </xf>
    <xf numFmtId="0" fontId="24" fillId="2" borderId="2" xfId="10" applyNumberFormat="1" applyFont="1" applyFill="1" applyBorder="1" applyAlignment="1" applyProtection="1">
      <alignment wrapText="1"/>
      <protection locked="0"/>
    </xf>
    <xf numFmtId="0" fontId="24" fillId="2" borderId="2" xfId="10" applyNumberFormat="1" applyFont="1" applyFill="1" applyBorder="1" applyProtection="1">
      <protection locked="0"/>
    </xf>
    <xf numFmtId="0" fontId="31" fillId="0" borderId="0" xfId="37" applyFont="1"/>
    <xf numFmtId="0" fontId="32" fillId="0" borderId="2" xfId="37" applyFont="1" applyBorder="1" applyAlignment="1">
      <alignment wrapText="1"/>
    </xf>
    <xf numFmtId="0" fontId="32" fillId="0" borderId="2" xfId="37" applyFont="1" applyBorder="1" applyAlignment="1">
      <alignment horizontal="center"/>
    </xf>
    <xf numFmtId="10" fontId="32" fillId="0" borderId="2" xfId="37" applyNumberFormat="1" applyFont="1" applyBorder="1" applyAlignment="1">
      <alignment horizontal="center" wrapText="1"/>
    </xf>
    <xf numFmtId="0" fontId="32" fillId="0" borderId="0" xfId="37" applyFont="1" applyAlignment="1">
      <alignment wrapText="1"/>
    </xf>
    <xf numFmtId="0" fontId="32" fillId="0" borderId="2" xfId="37" applyFont="1" applyBorder="1"/>
    <xf numFmtId="41" fontId="32" fillId="0" borderId="2" xfId="37" applyNumberFormat="1" applyFont="1" applyBorder="1"/>
    <xf numFmtId="0" fontId="32" fillId="2" borderId="2" xfId="37" applyFont="1" applyFill="1" applyBorder="1" applyAlignment="1" applyProtection="1">
      <alignment horizontal="left" wrapText="1"/>
      <protection locked="0"/>
    </xf>
    <xf numFmtId="10" fontId="32" fillId="0" borderId="2" xfId="37" applyNumberFormat="1" applyFont="1" applyBorder="1"/>
    <xf numFmtId="0" fontId="31" fillId="0" borderId="2" xfId="37" applyFont="1" applyBorder="1"/>
    <xf numFmtId="41" fontId="7" fillId="5" borderId="2" xfId="0" applyNumberFormat="1" applyFont="1" applyFill="1" applyBorder="1" applyProtection="1">
      <protection locked="0"/>
    </xf>
    <xf numFmtId="0" fontId="7" fillId="0" borderId="0" xfId="9" applyFont="1" applyAlignment="1">
      <alignment horizontal="center"/>
    </xf>
    <xf numFmtId="41" fontId="7" fillId="0" borderId="14" xfId="0" applyNumberFormat="1" applyFont="1" applyBorder="1"/>
    <xf numFmtId="37" fontId="24" fillId="0" borderId="0" xfId="10" applyFont="1" applyAlignment="1">
      <alignment horizontal="center" wrapText="1"/>
    </xf>
    <xf numFmtId="41" fontId="7" fillId="0" borderId="0" xfId="0" applyNumberFormat="1" applyFont="1" applyAlignment="1" applyProtection="1">
      <alignment horizontal="right"/>
      <protection locked="0"/>
    </xf>
    <xf numFmtId="0" fontId="7" fillId="0" borderId="0" xfId="0" applyFont="1" applyProtection="1">
      <protection locked="0"/>
    </xf>
    <xf numFmtId="0" fontId="7" fillId="0" borderId="0" xfId="0" applyFont="1" applyAlignment="1" applyProtection="1">
      <alignment vertical="top" wrapText="1"/>
      <protection locked="0"/>
    </xf>
    <xf numFmtId="0" fontId="32" fillId="0" borderId="2" xfId="37" applyFont="1" applyBorder="1" applyAlignment="1">
      <alignment horizontal="left" wrapText="1"/>
    </xf>
    <xf numFmtId="41" fontId="7" fillId="5" borderId="2" xfId="13" applyNumberFormat="1" applyFont="1" applyFill="1" applyBorder="1" applyProtection="1">
      <protection locked="0"/>
    </xf>
    <xf numFmtId="49" fontId="32" fillId="2" borderId="2" xfId="37" applyNumberFormat="1" applyFont="1" applyFill="1" applyBorder="1" applyAlignment="1" applyProtection="1">
      <alignment horizontal="left" wrapText="1"/>
      <protection locked="0"/>
    </xf>
    <xf numFmtId="41" fontId="24" fillId="0" borderId="5" xfId="0" applyNumberFormat="1" applyFont="1" applyBorder="1"/>
    <xf numFmtId="41" fontId="60" fillId="8" borderId="0" xfId="0" applyNumberFormat="1" applyFont="1" applyFill="1" applyAlignment="1">
      <alignment horizontal="center" wrapText="1"/>
    </xf>
    <xf numFmtId="41" fontId="60" fillId="8" borderId="0" xfId="0" applyNumberFormat="1" applyFont="1" applyFill="1" applyAlignment="1">
      <alignment horizontal="center" vertical="center" wrapText="1"/>
    </xf>
    <xf numFmtId="41" fontId="60" fillId="13" borderId="0" xfId="0" applyNumberFormat="1" applyFont="1" applyFill="1" applyAlignment="1">
      <alignment horizontal="center" wrapText="1"/>
    </xf>
    <xf numFmtId="0" fontId="7" fillId="8" borderId="0" xfId="0" applyFont="1" applyFill="1" applyAlignment="1">
      <alignment horizontal="right"/>
    </xf>
    <xf numFmtId="41" fontId="68" fillId="8" borderId="0" xfId="0" applyNumberFormat="1" applyFont="1" applyFill="1" applyAlignment="1">
      <alignment horizontal="center"/>
    </xf>
    <xf numFmtId="37" fontId="24" fillId="0" borderId="2" xfId="10" applyFont="1" applyBorder="1" applyAlignment="1">
      <alignment horizontal="center" wrapText="1"/>
    </xf>
    <xf numFmtId="0" fontId="24" fillId="0" borderId="2" xfId="10" applyNumberFormat="1" applyFont="1" applyBorder="1" applyAlignment="1">
      <alignment horizontal="center" wrapText="1"/>
    </xf>
    <xf numFmtId="49" fontId="24" fillId="0" borderId="2" xfId="10" applyNumberFormat="1" applyFont="1" applyBorder="1" applyAlignment="1">
      <alignment horizontal="center"/>
    </xf>
    <xf numFmtId="49" fontId="24" fillId="0" borderId="2" xfId="10" applyNumberFormat="1" applyFont="1" applyBorder="1" applyAlignment="1">
      <alignment horizontal="center" wrapText="1"/>
    </xf>
    <xf numFmtId="37" fontId="24" fillId="0" borderId="0" xfId="0" applyNumberFormat="1" applyFont="1"/>
    <xf numFmtId="37" fontId="24" fillId="0" borderId="0" xfId="0" applyNumberFormat="1" applyFont="1" applyAlignment="1">
      <alignment horizontal="left"/>
    </xf>
    <xf numFmtId="3" fontId="24" fillId="0" borderId="0" xfId="38" applyNumberFormat="1" applyFont="1"/>
    <xf numFmtId="41" fontId="24" fillId="0" borderId="0" xfId="38" applyNumberFormat="1" applyFont="1"/>
    <xf numFmtId="41" fontId="24" fillId="0" borderId="7" xfId="0" applyNumberFormat="1" applyFont="1" applyBorder="1" applyAlignment="1">
      <alignment horizontal="center"/>
    </xf>
    <xf numFmtId="41" fontId="24" fillId="0" borderId="0" xfId="0" applyNumberFormat="1" applyFont="1" applyAlignment="1">
      <alignment horizontal="center"/>
    </xf>
    <xf numFmtId="0" fontId="78" fillId="0" borderId="0" xfId="0" applyFont="1" applyAlignment="1">
      <alignment horizontal="right"/>
    </xf>
    <xf numFmtId="41" fontId="78" fillId="0" borderId="0" xfId="0" applyNumberFormat="1" applyFont="1" applyAlignment="1">
      <alignment horizontal="center"/>
    </xf>
    <xf numFmtId="0" fontId="38" fillId="0" borderId="0" xfId="0" applyFont="1" applyAlignment="1">
      <alignment horizontal="right"/>
    </xf>
    <xf numFmtId="0" fontId="38" fillId="0" borderId="0" xfId="0" applyFont="1" applyAlignment="1">
      <alignment horizontal="center"/>
    </xf>
    <xf numFmtId="0" fontId="38" fillId="0" borderId="0" xfId="0" applyFont="1" applyAlignment="1">
      <alignment horizontal="left"/>
    </xf>
    <xf numFmtId="0" fontId="86" fillId="0" borderId="0" xfId="0" applyFont="1"/>
    <xf numFmtId="168" fontId="38" fillId="0" borderId="0" xfId="0" applyNumberFormat="1" applyFont="1" applyAlignment="1">
      <alignment horizontal="left"/>
    </xf>
    <xf numFmtId="0" fontId="79" fillId="0" borderId="0" xfId="0" applyFont="1" applyAlignment="1">
      <alignment wrapText="1"/>
    </xf>
    <xf numFmtId="0" fontId="87" fillId="0" borderId="0" xfId="0" applyFont="1" applyAlignment="1">
      <alignment horizontal="left"/>
    </xf>
    <xf numFmtId="0" fontId="87" fillId="0" borderId="0" xfId="0" applyFont="1" applyAlignment="1">
      <alignment horizontal="center"/>
    </xf>
    <xf numFmtId="0" fontId="87" fillId="0" borderId="0" xfId="0" applyFont="1"/>
    <xf numFmtId="42" fontId="87" fillId="0" borderId="0" xfId="1" applyNumberFormat="1" applyFont="1" applyFill="1" applyBorder="1" applyProtection="1"/>
    <xf numFmtId="0" fontId="88" fillId="0" borderId="0" xfId="11" applyFont="1"/>
    <xf numFmtId="0" fontId="89" fillId="0" borderId="0" xfId="0" applyFont="1"/>
    <xf numFmtId="0" fontId="66" fillId="0" borderId="2" xfId="37" applyFont="1" applyBorder="1"/>
    <xf numFmtId="0" fontId="66" fillId="0" borderId="2" xfId="37" applyFont="1" applyBorder="1" applyAlignment="1">
      <alignment wrapText="1"/>
    </xf>
    <xf numFmtId="41" fontId="7" fillId="2" borderId="2" xfId="0" applyNumberFormat="1" applyFont="1" applyFill="1" applyBorder="1"/>
    <xf numFmtId="41" fontId="66" fillId="0" borderId="2" xfId="37" applyNumberFormat="1" applyFont="1" applyBorder="1"/>
    <xf numFmtId="10" fontId="66" fillId="0" borderId="2" xfId="37" applyNumberFormat="1" applyFont="1" applyBorder="1"/>
    <xf numFmtId="41" fontId="19" fillId="0" borderId="1" xfId="0" applyNumberFormat="1" applyFont="1" applyBorder="1"/>
    <xf numFmtId="0" fontId="19" fillId="0" borderId="0" xfId="0" applyFont="1"/>
    <xf numFmtId="0" fontId="7" fillId="8" borderId="0" xfId="20" applyFont="1" applyFill="1"/>
    <xf numFmtId="0" fontId="7" fillId="8" borderId="0" xfId="20" applyFont="1" applyFill="1" applyAlignment="1">
      <alignment horizontal="left"/>
    </xf>
    <xf numFmtId="41" fontId="7" fillId="8" borderId="0" xfId="1" applyNumberFormat="1" applyFont="1" applyFill="1" applyBorder="1" applyProtection="1"/>
    <xf numFmtId="0" fontId="8" fillId="8" borderId="0" xfId="0" applyFont="1" applyFill="1"/>
    <xf numFmtId="164" fontId="7" fillId="8" borderId="0" xfId="1" quotePrefix="1" applyNumberFormat="1" applyFont="1" applyFill="1" applyBorder="1" applyAlignment="1" applyProtection="1">
      <alignment horizontal="center"/>
    </xf>
    <xf numFmtId="164" fontId="7" fillId="8" borderId="0" xfId="1" applyNumberFormat="1" applyFont="1" applyFill="1" applyBorder="1" applyAlignment="1" applyProtection="1">
      <alignment horizontal="center"/>
    </xf>
    <xf numFmtId="164" fontId="7" fillId="8" borderId="0" xfId="1" applyNumberFormat="1" applyFont="1" applyFill="1" applyBorder="1" applyProtection="1"/>
    <xf numFmtId="0" fontId="7" fillId="8" borderId="0" xfId="20" applyFont="1" applyFill="1" applyAlignment="1">
      <alignment horizontal="left" wrapText="1"/>
    </xf>
    <xf numFmtId="164" fontId="7" fillId="8" borderId="0" xfId="1" applyNumberFormat="1" applyFont="1" applyFill="1" applyBorder="1" applyAlignment="1" applyProtection="1">
      <alignment horizontal="centerContinuous" vertical="center"/>
    </xf>
    <xf numFmtId="41" fontId="7" fillId="8" borderId="0" xfId="1" applyNumberFormat="1" applyFont="1" applyFill="1" applyBorder="1" applyAlignment="1" applyProtection="1">
      <alignment horizontal="right"/>
    </xf>
    <xf numFmtId="164" fontId="7" fillId="8" borderId="0" xfId="1" applyNumberFormat="1" applyFont="1" applyFill="1" applyBorder="1" applyAlignment="1" applyProtection="1">
      <alignment horizontal="right"/>
    </xf>
    <xf numFmtId="41" fontId="7" fillId="8" borderId="0" xfId="20" applyNumberFormat="1" applyFont="1" applyFill="1" applyAlignment="1">
      <alignment horizontal="right"/>
    </xf>
    <xf numFmtId="164" fontId="7" fillId="8" borderId="0" xfId="1" applyNumberFormat="1" applyFont="1" applyFill="1" applyBorder="1" applyAlignment="1" applyProtection="1">
      <alignment vertical="center"/>
    </xf>
    <xf numFmtId="41" fontId="7" fillId="8" borderId="0" xfId="1" applyNumberFormat="1" applyFont="1" applyFill="1" applyBorder="1" applyAlignment="1" applyProtection="1">
      <alignment horizontal="right"/>
      <protection locked="0"/>
    </xf>
    <xf numFmtId="166" fontId="90" fillId="0" borderId="0" xfId="14" applyNumberFormat="1" applyFont="1" applyAlignment="1">
      <alignment horizontal="left" vertical="top"/>
    </xf>
    <xf numFmtId="0" fontId="38" fillId="0" borderId="0" xfId="14" applyFont="1" applyAlignment="1">
      <alignment vertical="top"/>
    </xf>
    <xf numFmtId="0" fontId="90" fillId="0" borderId="0" xfId="14" applyFont="1"/>
    <xf numFmtId="0" fontId="38" fillId="0" borderId="0" xfId="14" applyFont="1"/>
    <xf numFmtId="0" fontId="91" fillId="0" borderId="0" xfId="14" applyFont="1" applyAlignment="1">
      <alignment horizontal="center"/>
    </xf>
    <xf numFmtId="0" fontId="89" fillId="0" borderId="0" xfId="14" applyFont="1" applyAlignment="1">
      <alignment horizontal="center" wrapText="1"/>
    </xf>
    <xf numFmtId="41" fontId="38" fillId="0" borderId="2" xfId="1" applyNumberFormat="1" applyFont="1" applyFill="1" applyBorder="1" applyAlignment="1" applyProtection="1">
      <alignment horizontal="right"/>
    </xf>
    <xf numFmtId="0" fontId="88" fillId="0" borderId="0" xfId="11" applyFont="1" applyAlignment="1">
      <alignment wrapText="1"/>
    </xf>
    <xf numFmtId="0" fontId="89" fillId="0" borderId="0" xfId="0" applyFont="1" applyAlignment="1">
      <alignment horizontal="right"/>
    </xf>
    <xf numFmtId="41" fontId="38" fillId="0" borderId="7" xfId="1" applyNumberFormat="1" applyFont="1" applyBorder="1" applyAlignment="1" applyProtection="1">
      <alignment horizontal="right"/>
    </xf>
    <xf numFmtId="0" fontId="66" fillId="0" borderId="0" xfId="0" applyFont="1" applyAlignment="1">
      <alignment wrapText="1"/>
    </xf>
    <xf numFmtId="3" fontId="38" fillId="0" borderId="0" xfId="1" applyNumberFormat="1" applyFont="1" applyFill="1" applyBorder="1" applyProtection="1"/>
    <xf numFmtId="0" fontId="66" fillId="0" borderId="0" xfId="20" applyFont="1"/>
    <xf numFmtId="0" fontId="89" fillId="0" borderId="0" xfId="20" applyFont="1"/>
    <xf numFmtId="164" fontId="89" fillId="0" borderId="0" xfId="1" applyNumberFormat="1" applyFont="1" applyProtection="1"/>
    <xf numFmtId="0" fontId="38" fillId="0" borderId="0" xfId="0" applyFont="1" applyAlignment="1">
      <alignment vertical="top" wrapText="1"/>
    </xf>
    <xf numFmtId="3" fontId="89" fillId="0" borderId="0" xfId="1" applyNumberFormat="1" applyFont="1" applyBorder="1" applyProtection="1"/>
    <xf numFmtId="0" fontId="7" fillId="8" borderId="0" xfId="0" applyFont="1" applyFill="1" applyAlignment="1">
      <alignment horizontal="center"/>
    </xf>
    <xf numFmtId="0" fontId="7" fillId="8" borderId="0" xfId="0" applyFont="1" applyFill="1"/>
    <xf numFmtId="41" fontId="7" fillId="5" borderId="2" xfId="1" applyNumberFormat="1" applyFont="1" applyFill="1" applyBorder="1" applyProtection="1">
      <protection locked="0"/>
    </xf>
    <xf numFmtId="0" fontId="66" fillId="2" borderId="2" xfId="37" applyFont="1" applyFill="1" applyBorder="1" applyAlignment="1" applyProtection="1">
      <alignment horizontal="left" wrapText="1"/>
      <protection locked="0"/>
    </xf>
    <xf numFmtId="14" fontId="7" fillId="0" borderId="0" xfId="0" applyNumberFormat="1" applyFont="1"/>
    <xf numFmtId="41" fontId="7" fillId="8" borderId="0" xfId="0" applyNumberFormat="1" applyFont="1" applyFill="1"/>
    <xf numFmtId="2" fontId="7" fillId="8" borderId="0" xfId="0" applyNumberFormat="1" applyFont="1" applyFill="1"/>
    <xf numFmtId="2" fontId="7" fillId="2" borderId="14" xfId="0" applyNumberFormat="1" applyFont="1" applyFill="1" applyBorder="1"/>
    <xf numFmtId="180" fontId="7" fillId="2" borderId="2" xfId="0" applyNumberFormat="1" applyFont="1" applyFill="1" applyBorder="1"/>
    <xf numFmtId="41" fontId="7" fillId="2" borderId="2" xfId="1" applyNumberFormat="1" applyFont="1" applyFill="1" applyBorder="1" applyProtection="1"/>
    <xf numFmtId="0" fontId="32" fillId="0" borderId="0" xfId="0" applyFont="1" applyProtection="1">
      <protection locked="0"/>
    </xf>
    <xf numFmtId="0" fontId="35" fillId="0" borderId="0" xfId="0" applyFont="1" applyAlignment="1" applyProtection="1">
      <alignment horizontal="right"/>
      <protection locked="0"/>
    </xf>
    <xf numFmtId="0" fontId="7" fillId="0" borderId="0" xfId="0" applyFont="1" applyAlignment="1" applyProtection="1">
      <alignment horizontal="center"/>
      <protection locked="0"/>
    </xf>
    <xf numFmtId="41" fontId="7" fillId="5" borderId="2" xfId="0" applyNumberFormat="1" applyFont="1" applyFill="1" applyBorder="1"/>
    <xf numFmtId="0" fontId="92" fillId="0" borderId="16" xfId="0" applyFont="1" applyBorder="1"/>
    <xf numFmtId="0" fontId="7" fillId="0" borderId="16" xfId="0" applyFont="1" applyBorder="1" applyAlignment="1">
      <alignment horizontal="left"/>
    </xf>
    <xf numFmtId="0" fontId="15" fillId="0" borderId="16" xfId="0" applyFont="1" applyBorder="1" applyAlignment="1">
      <alignment horizontal="right"/>
    </xf>
    <xf numFmtId="0" fontId="7" fillId="8" borderId="0" xfId="0" applyFont="1" applyFill="1" applyAlignment="1">
      <alignment horizontal="left" wrapText="1"/>
    </xf>
    <xf numFmtId="0" fontId="7" fillId="8" borderId="0" xfId="0" applyFont="1" applyFill="1" applyAlignment="1">
      <alignment horizontal="left"/>
    </xf>
    <xf numFmtId="0" fontId="76" fillId="0" borderId="0" xfId="141" applyFont="1" applyAlignment="1">
      <alignment horizontal="center" vertical="center"/>
    </xf>
    <xf numFmtId="0" fontId="78" fillId="0" borderId="0" xfId="0" applyFont="1"/>
    <xf numFmtId="41" fontId="7" fillId="0" borderId="2" xfId="1" applyNumberFormat="1" applyFont="1" applyBorder="1" applyAlignment="1" applyProtection="1">
      <alignment horizontal="right"/>
    </xf>
    <xf numFmtId="0" fontId="57" fillId="0" borderId="0" xfId="106" applyFont="1"/>
    <xf numFmtId="0" fontId="57" fillId="0" borderId="0" xfId="106" applyFont="1" applyAlignment="1">
      <alignment horizontal="left" wrapText="1"/>
    </xf>
    <xf numFmtId="0" fontId="57" fillId="0" borderId="0" xfId="106" applyFont="1" applyAlignment="1">
      <alignment wrapText="1"/>
    </xf>
    <xf numFmtId="0" fontId="69" fillId="2" borderId="2" xfId="0" applyFont="1" applyFill="1" applyBorder="1" applyAlignment="1" applyProtection="1">
      <alignment wrapText="1"/>
      <protection locked="0"/>
    </xf>
    <xf numFmtId="0" fontId="24" fillId="2" borderId="2" xfId="0" applyFont="1" applyFill="1" applyBorder="1" applyAlignment="1" applyProtection="1">
      <alignment horizontal="center" wrapText="1"/>
      <protection locked="0"/>
    </xf>
    <xf numFmtId="0" fontId="24" fillId="2" borderId="2" xfId="73" applyFont="1" applyFill="1" applyBorder="1" applyAlignment="1" applyProtection="1">
      <alignment wrapText="1"/>
      <protection locked="0"/>
    </xf>
    <xf numFmtId="0" fontId="24" fillId="12" borderId="0" xfId="0" applyFont="1" applyFill="1"/>
    <xf numFmtId="43" fontId="24" fillId="0" borderId="0" xfId="1" applyFont="1"/>
    <xf numFmtId="0" fontId="97" fillId="0" borderId="0" xfId="0" applyFont="1"/>
    <xf numFmtId="0" fontId="98" fillId="0" borderId="0" xfId="0" applyFont="1"/>
    <xf numFmtId="0" fontId="24" fillId="11" borderId="0" xfId="0" applyFont="1" applyFill="1"/>
    <xf numFmtId="41" fontId="24" fillId="2" borderId="2" xfId="0" applyNumberFormat="1" applyFont="1" applyFill="1" applyBorder="1"/>
    <xf numFmtId="41" fontId="24" fillId="12" borderId="2" xfId="0" applyNumberFormat="1" applyFont="1" applyFill="1" applyBorder="1"/>
    <xf numFmtId="41" fontId="24" fillId="11" borderId="2" xfId="0" applyNumberFormat="1" applyFont="1" applyFill="1" applyBorder="1"/>
    <xf numFmtId="41" fontId="24" fillId="5" borderId="2" xfId="0" applyNumberFormat="1" applyFont="1" applyFill="1" applyBorder="1"/>
    <xf numFmtId="41" fontId="24" fillId="0" borderId="3" xfId="0" applyNumberFormat="1" applyFont="1" applyBorder="1"/>
    <xf numFmtId="41" fontId="24" fillId="12" borderId="3" xfId="0" applyNumberFormat="1" applyFont="1" applyFill="1" applyBorder="1"/>
    <xf numFmtId="41" fontId="24" fillId="11" borderId="3" xfId="0" applyNumberFormat="1" applyFont="1" applyFill="1" applyBorder="1"/>
    <xf numFmtId="41" fontId="24" fillId="12" borderId="0" xfId="0" applyNumberFormat="1" applyFont="1" applyFill="1"/>
    <xf numFmtId="41" fontId="24" fillId="11" borderId="0" xfId="0" applyNumberFormat="1" applyFont="1" applyFill="1"/>
    <xf numFmtId="41" fontId="24" fillId="10" borderId="2" xfId="0" applyNumberFormat="1" applyFont="1" applyFill="1" applyBorder="1"/>
    <xf numFmtId="41" fontId="24" fillId="0" borderId="7" xfId="0" applyNumberFormat="1" applyFont="1" applyBorder="1"/>
    <xf numFmtId="41" fontId="24" fillId="12" borderId="7" xfId="0" applyNumberFormat="1" applyFont="1" applyFill="1" applyBorder="1"/>
    <xf numFmtId="41" fontId="24" fillId="11" borderId="7" xfId="0" applyNumberFormat="1" applyFont="1" applyFill="1" applyBorder="1"/>
    <xf numFmtId="41" fontId="69" fillId="0" borderId="0" xfId="0" applyNumberFormat="1" applyFont="1"/>
    <xf numFmtId="41" fontId="24" fillId="0" borderId="12" xfId="0" applyNumberFormat="1" applyFont="1" applyBorder="1"/>
    <xf numFmtId="41" fontId="24" fillId="12" borderId="12" xfId="0" applyNumberFormat="1" applyFont="1" applyFill="1" applyBorder="1"/>
    <xf numFmtId="41" fontId="24" fillId="11" borderId="12" xfId="0" applyNumberFormat="1" applyFont="1" applyFill="1" applyBorder="1"/>
    <xf numFmtId="41" fontId="32" fillId="10" borderId="2" xfId="0" applyNumberFormat="1" applyFont="1" applyFill="1" applyBorder="1"/>
    <xf numFmtId="0" fontId="99" fillId="0" borderId="0" xfId="0" applyFont="1" applyAlignment="1">
      <alignment horizontal="right"/>
    </xf>
    <xf numFmtId="41" fontId="78" fillId="0" borderId="0" xfId="0" applyNumberFormat="1" applyFont="1"/>
    <xf numFmtId="41" fontId="24" fillId="0" borderId="8" xfId="0" applyNumberFormat="1" applyFont="1" applyBorder="1"/>
    <xf numFmtId="41" fontId="24" fillId="12" borderId="8" xfId="0" applyNumberFormat="1" applyFont="1" applyFill="1" applyBorder="1"/>
    <xf numFmtId="41" fontId="24" fillId="11" borderId="8" xfId="0" applyNumberFormat="1" applyFont="1" applyFill="1" applyBorder="1"/>
    <xf numFmtId="0" fontId="24" fillId="8" borderId="0" xfId="0" applyFont="1" applyFill="1"/>
    <xf numFmtId="0" fontId="7" fillId="0" borderId="12" xfId="0" applyFont="1" applyBorder="1" applyAlignment="1">
      <alignment wrapText="1"/>
    </xf>
    <xf numFmtId="0" fontId="8" fillId="0" borderId="12" xfId="0" applyFont="1" applyBorder="1" applyAlignment="1">
      <alignment horizontal="left" vertical="top" wrapText="1"/>
    </xf>
    <xf numFmtId="0" fontId="0" fillId="8" borderId="0" xfId="0" applyFill="1"/>
    <xf numFmtId="0" fontId="8" fillId="8" borderId="0" xfId="37" applyFont="1" applyFill="1"/>
    <xf numFmtId="0" fontId="8" fillId="8" borderId="0" xfId="37" applyFont="1" applyFill="1" applyAlignment="1">
      <alignment horizontal="center"/>
    </xf>
    <xf numFmtId="0" fontId="6" fillId="8" borderId="0" xfId="37" applyFill="1"/>
    <xf numFmtId="0" fontId="23" fillId="8" borderId="0" xfId="37" applyFont="1" applyFill="1"/>
    <xf numFmtId="0" fontId="32" fillId="8" borderId="0" xfId="37" applyFont="1" applyFill="1"/>
    <xf numFmtId="0" fontId="32" fillId="8" borderId="0" xfId="106" applyFont="1" applyFill="1" applyAlignment="1">
      <alignment wrapText="1"/>
    </xf>
    <xf numFmtId="0" fontId="31" fillId="8" borderId="0" xfId="37" applyFont="1" applyFill="1"/>
    <xf numFmtId="181" fontId="6" fillId="8" borderId="0" xfId="37" applyNumberFormat="1" applyFill="1"/>
    <xf numFmtId="0" fontId="24" fillId="2" borderId="2" xfId="37" applyFont="1" applyFill="1" applyBorder="1" applyAlignment="1" applyProtection="1">
      <alignment horizontal="center" vertical="center" wrapText="1"/>
      <protection locked="0"/>
    </xf>
    <xf numFmtId="0" fontId="24" fillId="5" borderId="2" xfId="0" applyFont="1" applyFill="1" applyBorder="1" applyAlignment="1" applyProtection="1">
      <alignment horizontal="left" wrapText="1"/>
      <protection locked="0"/>
    </xf>
    <xf numFmtId="38" fontId="7" fillId="0" borderId="2" xfId="21" applyNumberFormat="1" applyFont="1" applyBorder="1" applyAlignment="1">
      <alignment horizontal="center" wrapText="1"/>
    </xf>
    <xf numFmtId="0" fontId="7" fillId="0" borderId="2" xfId="0" applyFont="1" applyBorder="1" applyAlignment="1">
      <alignment horizontal="left" vertical="center" wrapText="1"/>
    </xf>
    <xf numFmtId="0" fontId="99" fillId="0" borderId="0" xfId="0" applyFont="1"/>
    <xf numFmtId="41" fontId="103" fillId="10" borderId="0" xfId="0" applyNumberFormat="1" applyFont="1" applyFill="1" applyAlignment="1">
      <alignment horizontal="center" wrapText="1"/>
    </xf>
    <xf numFmtId="41" fontId="103" fillId="0" borderId="0" xfId="0" applyNumberFormat="1" applyFont="1" applyAlignment="1">
      <alignment horizontal="center" wrapText="1"/>
    </xf>
    <xf numFmtId="41" fontId="103" fillId="6" borderId="0" xfId="0" applyNumberFormat="1" applyFont="1" applyFill="1" applyAlignment="1">
      <alignment horizontal="center" wrapText="1"/>
    </xf>
    <xf numFmtId="0" fontId="104" fillId="0" borderId="0" xfId="0" applyFont="1"/>
    <xf numFmtId="0" fontId="105" fillId="0" borderId="0" xfId="0" applyFont="1" applyAlignment="1">
      <alignment horizontal="right"/>
    </xf>
    <xf numFmtId="41" fontId="89" fillId="2" borderId="2" xfId="0" applyNumberFormat="1" applyFont="1" applyFill="1" applyBorder="1" applyProtection="1">
      <protection locked="0"/>
    </xf>
    <xf numFmtId="41" fontId="89" fillId="0" borderId="0" xfId="0" applyNumberFormat="1" applyFont="1"/>
    <xf numFmtId="10" fontId="89" fillId="0" borderId="0" xfId="0" applyNumberFormat="1" applyFont="1" applyAlignment="1">
      <alignment horizontal="right"/>
    </xf>
    <xf numFmtId="0" fontId="89" fillId="0" borderId="0" xfId="0" applyFont="1" applyAlignment="1">
      <alignment horizontal="center"/>
    </xf>
    <xf numFmtId="0" fontId="106" fillId="0" borderId="2" xfId="37" applyFont="1" applyBorder="1"/>
    <xf numFmtId="0" fontId="106" fillId="0" borderId="2" xfId="37" applyFont="1" applyBorder="1" applyAlignment="1">
      <alignment wrapText="1"/>
    </xf>
    <xf numFmtId="41" fontId="106" fillId="0" borderId="2" xfId="37" applyNumberFormat="1" applyFont="1" applyBorder="1"/>
    <xf numFmtId="10" fontId="106" fillId="0" borderId="2" xfId="37" applyNumberFormat="1" applyFont="1" applyBorder="1"/>
    <xf numFmtId="0" fontId="106" fillId="2" borderId="2" xfId="37" applyFont="1" applyFill="1" applyBorder="1" applyAlignment="1" applyProtection="1">
      <alignment horizontal="left" wrapText="1"/>
      <protection locked="0"/>
    </xf>
    <xf numFmtId="0" fontId="87" fillId="8" borderId="0" xfId="0" applyFont="1" applyFill="1"/>
    <xf numFmtId="0" fontId="7" fillId="2" borderId="9" xfId="0" applyFont="1" applyFill="1" applyBorder="1" applyAlignment="1" applyProtection="1">
      <alignment horizontal="left" vertical="top"/>
      <protection locked="0"/>
    </xf>
    <xf numFmtId="0" fontId="7" fillId="2" borderId="3"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31" fillId="0" borderId="2" xfId="0" applyFont="1" applyBorder="1" applyAlignment="1">
      <alignment horizontal="left" vertical="top" wrapText="1"/>
    </xf>
    <xf numFmtId="0" fontId="0" fillId="0" borderId="2" xfId="0" applyBorder="1" applyAlignment="1">
      <alignment wrapText="1"/>
    </xf>
    <xf numFmtId="0" fontId="7" fillId="0" borderId="0" xfId="0" applyFont="1" applyAlignment="1" applyProtection="1">
      <alignment horizontal="left" vertical="top"/>
      <protection locked="0"/>
    </xf>
    <xf numFmtId="0" fontId="31" fillId="0" borderId="5" xfId="0" applyFont="1" applyBorder="1" applyAlignment="1">
      <alignment horizontal="center"/>
    </xf>
    <xf numFmtId="0" fontId="0" fillId="0" borderId="5" xfId="0" applyBorder="1"/>
    <xf numFmtId="0" fontId="23" fillId="4" borderId="9" xfId="0" applyFont="1" applyFill="1" applyBorder="1" applyAlignment="1">
      <alignment horizontal="left" vertical="top" wrapText="1"/>
    </xf>
    <xf numFmtId="0" fontId="41" fillId="4" borderId="3" xfId="0" applyFont="1" applyFill="1" applyBorder="1"/>
    <xf numFmtId="0" fontId="41" fillId="4" borderId="10" xfId="0" applyFont="1" applyFill="1" applyBorder="1"/>
    <xf numFmtId="0" fontId="23" fillId="2" borderId="9" xfId="0" applyFont="1" applyFill="1" applyBorder="1" applyAlignment="1" applyProtection="1">
      <alignment horizontal="left" vertical="top" wrapText="1"/>
      <protection locked="0"/>
    </xf>
    <xf numFmtId="0" fontId="23" fillId="0" borderId="3" xfId="0" applyFont="1" applyBorder="1" applyAlignment="1" applyProtection="1">
      <alignment vertical="top" wrapText="1"/>
      <protection locked="0"/>
    </xf>
    <xf numFmtId="0" fontId="23" fillId="0" borderId="10" xfId="0" applyFont="1" applyBorder="1" applyAlignment="1" applyProtection="1">
      <alignment vertical="top" wrapText="1"/>
      <protection locked="0"/>
    </xf>
    <xf numFmtId="181" fontId="23" fillId="2" borderId="9" xfId="0" applyNumberFormat="1" applyFont="1" applyFill="1" applyBorder="1" applyAlignment="1" applyProtection="1">
      <alignment horizontal="left" vertical="top" wrapText="1"/>
      <protection locked="0"/>
    </xf>
    <xf numFmtId="181" fontId="23" fillId="0" borderId="3" xfId="0" applyNumberFormat="1" applyFont="1" applyBorder="1" applyAlignment="1" applyProtection="1">
      <alignment vertical="top" wrapText="1"/>
      <protection locked="0"/>
    </xf>
    <xf numFmtId="181" fontId="23" fillId="0" borderId="10" xfId="0" applyNumberFormat="1" applyFont="1" applyBorder="1" applyAlignment="1" applyProtection="1">
      <alignment vertical="top" wrapText="1"/>
      <protection locked="0"/>
    </xf>
    <xf numFmtId="49" fontId="84" fillId="2" borderId="9" xfId="8" applyNumberFormat="1" applyFont="1" applyFill="1" applyBorder="1" applyAlignment="1" applyProtection="1">
      <alignment horizontal="left" vertical="top" wrapText="1"/>
      <protection locked="0"/>
    </xf>
    <xf numFmtId="49" fontId="77" fillId="0" borderId="3" xfId="0" applyNumberFormat="1" applyFont="1" applyBorder="1" applyAlignment="1" applyProtection="1">
      <alignment vertical="top" wrapText="1"/>
      <protection locked="0"/>
    </xf>
    <xf numFmtId="49" fontId="77" fillId="0" borderId="10" xfId="0" applyNumberFormat="1" applyFont="1" applyBorder="1" applyAlignment="1" applyProtection="1">
      <alignment vertical="top" wrapText="1"/>
      <protection locked="0"/>
    </xf>
    <xf numFmtId="180" fontId="23" fillId="2" borderId="9" xfId="8" applyNumberFormat="1" applyFont="1" applyFill="1" applyBorder="1" applyAlignment="1" applyProtection="1">
      <alignment horizontal="left" vertical="top" wrapText="1"/>
      <protection locked="0"/>
    </xf>
    <xf numFmtId="180" fontId="23" fillId="0" borderId="3" xfId="0" applyNumberFormat="1" applyFont="1" applyBorder="1" applyAlignment="1" applyProtection="1">
      <alignment vertical="top" wrapText="1"/>
      <protection locked="0"/>
    </xf>
    <xf numFmtId="180" fontId="23" fillId="0" borderId="10" xfId="0" applyNumberFormat="1" applyFont="1" applyBorder="1" applyAlignment="1" applyProtection="1">
      <alignment vertical="top" wrapText="1"/>
      <protection locked="0"/>
    </xf>
    <xf numFmtId="0" fontId="8" fillId="0" borderId="0" xfId="0" applyFont="1" applyAlignment="1">
      <alignment horizontal="center" wrapText="1"/>
    </xf>
    <xf numFmtId="0" fontId="0" fillId="0" borderId="0" xfId="0" applyAlignment="1">
      <alignment wrapText="1"/>
    </xf>
    <xf numFmtId="0" fontId="0" fillId="0" borderId="5" xfId="0" applyBorder="1" applyAlignment="1">
      <alignment wrapText="1"/>
    </xf>
    <xf numFmtId="0" fontId="7" fillId="0" borderId="9" xfId="0" applyFont="1" applyBorder="1" applyAlignment="1">
      <alignment horizontal="left"/>
    </xf>
    <xf numFmtId="0" fontId="7" fillId="0" borderId="3" xfId="0" applyFont="1" applyBorder="1" applyAlignment="1">
      <alignment horizontal="left"/>
    </xf>
    <xf numFmtId="0" fontId="7" fillId="0" borderId="10" xfId="0" applyFont="1" applyBorder="1" applyAlignment="1">
      <alignment horizontal="left"/>
    </xf>
    <xf numFmtId="0" fontId="7" fillId="0" borderId="9" xfId="0" applyFont="1" applyBorder="1" applyAlignment="1">
      <alignment horizontal="left" wrapText="1"/>
    </xf>
    <xf numFmtId="0" fontId="7" fillId="0" borderId="3" xfId="0" applyFont="1" applyBorder="1" applyAlignment="1">
      <alignment horizontal="left" wrapText="1"/>
    </xf>
    <xf numFmtId="0" fontId="7" fillId="0" borderId="10" xfId="0" applyFont="1" applyBorder="1" applyAlignment="1">
      <alignment horizontal="left" wrapText="1"/>
    </xf>
    <xf numFmtId="0" fontId="8" fillId="0" borderId="5" xfId="0" applyFont="1" applyBorder="1" applyAlignment="1">
      <alignment horizontal="center"/>
    </xf>
    <xf numFmtId="0" fontId="32" fillId="0" borderId="2" xfId="0" applyFont="1" applyBorder="1" applyAlignment="1">
      <alignment horizontal="center" vertical="center" wrapText="1"/>
    </xf>
    <xf numFmtId="0" fontId="24" fillId="0" borderId="2" xfId="0" applyFont="1" applyBorder="1" applyAlignment="1">
      <alignment wrapText="1"/>
    </xf>
    <xf numFmtId="0" fontId="7" fillId="14" borderId="9" xfId="0" applyFont="1" applyFill="1" applyBorder="1" applyAlignment="1">
      <alignment vertical="top" wrapText="1"/>
    </xf>
    <xf numFmtId="0" fontId="7" fillId="14" borderId="3" xfId="0" applyFont="1" applyFill="1" applyBorder="1" applyAlignment="1">
      <alignment vertical="top" wrapText="1"/>
    </xf>
    <xf numFmtId="0" fontId="7" fillId="14" borderId="10" xfId="0" applyFont="1" applyFill="1" applyBorder="1" applyAlignment="1">
      <alignment vertical="top" wrapText="1"/>
    </xf>
    <xf numFmtId="0" fontId="93" fillId="14" borderId="9" xfId="0" applyFont="1" applyFill="1" applyBorder="1" applyAlignment="1">
      <alignment vertical="top" wrapText="1"/>
    </xf>
    <xf numFmtId="0" fontId="93" fillId="14" borderId="3" xfId="0" applyFont="1" applyFill="1" applyBorder="1" applyAlignment="1">
      <alignment vertical="top" wrapText="1"/>
    </xf>
    <xf numFmtId="0" fontId="93" fillId="14" borderId="10" xfId="0" applyFont="1" applyFill="1" applyBorder="1" applyAlignment="1">
      <alignment vertical="top" wrapText="1"/>
    </xf>
    <xf numFmtId="0" fontId="32" fillId="0" borderId="0" xfId="0" applyFont="1" applyAlignment="1">
      <alignment horizontal="left" vertical="top" wrapText="1"/>
    </xf>
    <xf numFmtId="41" fontId="60" fillId="7" borderId="9" xfId="0" applyNumberFormat="1" applyFont="1" applyFill="1" applyBorder="1" applyAlignment="1">
      <alignment horizontal="center" vertical="top" wrapText="1"/>
    </xf>
    <xf numFmtId="0" fontId="100" fillId="7" borderId="3" xfId="0" applyFont="1" applyFill="1" applyBorder="1" applyAlignment="1">
      <alignment horizontal="center" vertical="top" wrapText="1"/>
    </xf>
    <xf numFmtId="0" fontId="100" fillId="7" borderId="10" xfId="0" applyFont="1" applyFill="1" applyBorder="1" applyAlignment="1">
      <alignment horizontal="center" vertical="top" wrapText="1"/>
    </xf>
    <xf numFmtId="41" fontId="60" fillId="6" borderId="9" xfId="0" applyNumberFormat="1" applyFont="1" applyFill="1" applyBorder="1" applyAlignment="1">
      <alignment horizontal="center" wrapText="1"/>
    </xf>
    <xf numFmtId="0" fontId="100" fillId="6" borderId="3" xfId="0" applyFont="1" applyFill="1" applyBorder="1" applyAlignment="1">
      <alignment horizontal="center" wrapText="1"/>
    </xf>
    <xf numFmtId="0" fontId="100" fillId="6" borderId="10" xfId="0" applyFont="1" applyFill="1" applyBorder="1" applyAlignment="1">
      <alignment horizontal="center" wrapText="1"/>
    </xf>
    <xf numFmtId="0" fontId="32" fillId="8" borderId="0" xfId="37" applyFont="1" applyFill="1" applyAlignment="1">
      <alignment horizontal="center"/>
    </xf>
    <xf numFmtId="0" fontId="23" fillId="0" borderId="9" xfId="37" applyFont="1" applyBorder="1"/>
    <xf numFmtId="0" fontId="24" fillId="0" borderId="3" xfId="37" applyFont="1" applyBorder="1"/>
    <xf numFmtId="0" fontId="24" fillId="0" borderId="10" xfId="37" applyFont="1" applyBorder="1"/>
    <xf numFmtId="181" fontId="23" fillId="2" borderId="2" xfId="106" applyNumberFormat="1" applyFont="1" applyFill="1" applyBorder="1" applyAlignment="1" applyProtection="1">
      <alignment horizontal="left"/>
      <protection locked="0"/>
    </xf>
    <xf numFmtId="181" fontId="24" fillId="0" borderId="2" xfId="37" applyNumberFormat="1" applyFont="1" applyBorder="1" applyProtection="1">
      <protection locked="0"/>
    </xf>
    <xf numFmtId="49" fontId="83" fillId="2" borderId="9" xfId="106" applyNumberFormat="1" applyFont="1" applyFill="1" applyBorder="1" applyAlignment="1" applyProtection="1">
      <alignment horizontal="left"/>
      <protection locked="0"/>
    </xf>
    <xf numFmtId="49" fontId="83" fillId="2" borderId="10" xfId="106" applyNumberFormat="1" applyFont="1" applyFill="1" applyBorder="1" applyAlignment="1" applyProtection="1">
      <alignment horizontal="left"/>
      <protection locked="0"/>
    </xf>
    <xf numFmtId="180" fontId="23" fillId="2" borderId="2" xfId="106" applyNumberFormat="1" applyFont="1" applyFill="1" applyBorder="1" applyAlignment="1" applyProtection="1">
      <alignment horizontal="left"/>
      <protection locked="0"/>
    </xf>
    <xf numFmtId="180" fontId="24" fillId="0" borderId="2" xfId="37" applyNumberFormat="1" applyFont="1" applyBorder="1" applyProtection="1">
      <protection locked="0"/>
    </xf>
    <xf numFmtId="0" fontId="23" fillId="4" borderId="2" xfId="106" applyFont="1" applyFill="1" applyBorder="1" applyAlignment="1">
      <alignment horizontal="left"/>
    </xf>
    <xf numFmtId="0" fontId="24" fillId="4" borderId="2" xfId="37" applyFont="1" applyFill="1" applyBorder="1"/>
    <xf numFmtId="38" fontId="23" fillId="4" borderId="9" xfId="106" applyNumberFormat="1" applyFont="1" applyFill="1" applyBorder="1" applyAlignment="1">
      <alignment horizontal="left" wrapText="1"/>
    </xf>
    <xf numFmtId="0" fontId="24" fillId="4" borderId="10" xfId="37" applyFont="1" applyFill="1" applyBorder="1" applyAlignment="1">
      <alignment wrapText="1"/>
    </xf>
    <xf numFmtId="38" fontId="23" fillId="2" borderId="2" xfId="106" applyNumberFormat="1" applyFont="1" applyFill="1" applyBorder="1" applyAlignment="1" applyProtection="1">
      <alignment horizontal="left"/>
      <protection locked="0"/>
    </xf>
    <xf numFmtId="0" fontId="24" fillId="0" borderId="2" xfId="37" applyFont="1" applyBorder="1" applyProtection="1">
      <protection locked="0"/>
    </xf>
    <xf numFmtId="0" fontId="23" fillId="0" borderId="2" xfId="0" applyFont="1" applyBorder="1" applyAlignment="1">
      <alignment wrapText="1"/>
    </xf>
    <xf numFmtId="0" fontId="6" fillId="0" borderId="2" xfId="0" applyFont="1" applyBorder="1" applyAlignment="1">
      <alignment wrapText="1"/>
    </xf>
    <xf numFmtId="0" fontId="23" fillId="0" borderId="9" xfId="0" applyFont="1" applyBorder="1" applyAlignment="1">
      <alignment horizontal="left" wrapText="1"/>
    </xf>
    <xf numFmtId="0" fontId="23" fillId="0" borderId="3" xfId="0" applyFont="1" applyBorder="1" applyAlignment="1">
      <alignment horizontal="left" wrapText="1"/>
    </xf>
    <xf numFmtId="0" fontId="23" fillId="0" borderId="10" xfId="0" applyFont="1" applyBorder="1" applyAlignment="1">
      <alignment horizontal="left" wrapText="1"/>
    </xf>
    <xf numFmtId="0" fontId="23" fillId="0" borderId="2" xfId="0" applyFont="1" applyBorder="1"/>
    <xf numFmtId="0" fontId="0" fillId="0" borderId="2" xfId="0" applyBorder="1"/>
    <xf numFmtId="0" fontId="44" fillId="0" borderId="3" xfId="0" applyFont="1" applyBorder="1" applyAlignment="1">
      <alignment horizontal="left" wrapText="1"/>
    </xf>
    <xf numFmtId="0" fontId="44" fillId="0" borderId="10" xfId="0" applyFont="1" applyBorder="1" applyAlignment="1">
      <alignment horizontal="left" wrapText="1"/>
    </xf>
    <xf numFmtId="0" fontId="23" fillId="2" borderId="9" xfId="0" applyFont="1" applyFill="1" applyBorder="1" applyAlignment="1" applyProtection="1">
      <alignment horizontal="left" wrapText="1"/>
      <protection locked="0"/>
    </xf>
    <xf numFmtId="0" fontId="44" fillId="2" borderId="3" xfId="0" applyFont="1" applyFill="1" applyBorder="1" applyAlignment="1" applyProtection="1">
      <alignment horizontal="left" wrapText="1"/>
      <protection locked="0"/>
    </xf>
    <xf numFmtId="0" fontId="44" fillId="2" borderId="10" xfId="0" applyFont="1" applyFill="1" applyBorder="1" applyAlignment="1" applyProtection="1">
      <alignment horizontal="left" wrapText="1"/>
      <protection locked="0"/>
    </xf>
    <xf numFmtId="49" fontId="51" fillId="2" borderId="9" xfId="8" applyNumberFormat="1" applyFont="1" applyFill="1" applyBorder="1" applyAlignment="1" applyProtection="1">
      <alignment horizontal="left" vertical="top" wrapText="1"/>
      <protection locked="0"/>
    </xf>
    <xf numFmtId="49" fontId="23" fillId="0" borderId="3" xfId="0" applyNumberFormat="1" applyFont="1" applyBorder="1" applyAlignment="1" applyProtection="1">
      <alignment vertical="top" wrapText="1"/>
      <protection locked="0"/>
    </xf>
    <xf numFmtId="49" fontId="23" fillId="0" borderId="10" xfId="0" applyNumberFormat="1" applyFont="1" applyBorder="1" applyAlignment="1" applyProtection="1">
      <alignment vertical="top" wrapText="1"/>
      <protection locked="0"/>
    </xf>
    <xf numFmtId="180" fontId="23" fillId="2" borderId="9" xfId="0" applyNumberFormat="1" applyFont="1" applyFill="1" applyBorder="1" applyAlignment="1" applyProtection="1">
      <alignment horizontal="left" wrapText="1"/>
      <protection locked="0"/>
    </xf>
    <xf numFmtId="180" fontId="23" fillId="2" borderId="3" xfId="0" applyNumberFormat="1" applyFont="1" applyFill="1" applyBorder="1" applyAlignment="1" applyProtection="1">
      <alignment horizontal="left" wrapText="1"/>
      <protection locked="0"/>
    </xf>
    <xf numFmtId="180" fontId="23" fillId="2" borderId="10" xfId="0" applyNumberFormat="1" applyFont="1" applyFill="1" applyBorder="1" applyAlignment="1" applyProtection="1">
      <alignment horizontal="left" wrapText="1"/>
      <protection locked="0"/>
    </xf>
    <xf numFmtId="37" fontId="24" fillId="0" borderId="0" xfId="10" applyFont="1" applyAlignment="1">
      <alignment horizontal="right"/>
    </xf>
    <xf numFmtId="0" fontId="0" fillId="0" borderId="0" xfId="0" applyAlignment="1">
      <alignment horizontal="right"/>
    </xf>
    <xf numFmtId="37" fontId="23" fillId="0" borderId="0" xfId="10" applyFont="1" applyAlignment="1">
      <alignment horizontal="right"/>
    </xf>
    <xf numFmtId="0" fontId="44" fillId="0" borderId="0" xfId="0" applyFont="1" applyAlignment="1">
      <alignment horizontal="right"/>
    </xf>
    <xf numFmtId="0" fontId="24" fillId="2" borderId="9" xfId="10" applyNumberFormat="1" applyFont="1" applyFill="1" applyBorder="1" applyAlignment="1" applyProtection="1">
      <alignment horizontal="left" wrapText="1"/>
      <protection locked="0"/>
    </xf>
    <xf numFmtId="0" fontId="24" fillId="2" borderId="3" xfId="10" applyNumberFormat="1" applyFont="1" applyFill="1" applyBorder="1" applyAlignment="1" applyProtection="1">
      <alignment horizontal="left" wrapText="1"/>
      <protection locked="0"/>
    </xf>
    <xf numFmtId="0" fontId="24" fillId="2" borderId="10" xfId="10" applyNumberFormat="1" applyFont="1" applyFill="1" applyBorder="1" applyAlignment="1" applyProtection="1">
      <alignment horizontal="left" wrapText="1"/>
      <protection locked="0"/>
    </xf>
    <xf numFmtId="0" fontId="24" fillId="0" borderId="0" xfId="0" applyFont="1" applyAlignment="1">
      <alignment horizontal="right"/>
    </xf>
    <xf numFmtId="0" fontId="0" fillId="0" borderId="20" xfId="0" applyBorder="1" applyAlignment="1">
      <alignment horizontal="right"/>
    </xf>
    <xf numFmtId="0" fontId="24" fillId="0" borderId="17" xfId="0" applyFont="1" applyBorder="1" applyAlignment="1">
      <alignment horizontal="center" wrapText="1"/>
    </xf>
    <xf numFmtId="0" fontId="24" fillId="0" borderId="18" xfId="0" applyFont="1" applyBorder="1" applyAlignment="1">
      <alignment horizontal="center" wrapText="1"/>
    </xf>
    <xf numFmtId="0" fontId="24" fillId="0" borderId="9" xfId="10" applyNumberFormat="1" applyFont="1" applyBorder="1" applyAlignment="1">
      <alignment horizontal="left" wrapText="1"/>
    </xf>
    <xf numFmtId="0" fontId="24" fillId="0" borderId="3" xfId="10" applyNumberFormat="1" applyFont="1" applyBorder="1" applyAlignment="1">
      <alignment horizontal="left" wrapText="1"/>
    </xf>
    <xf numFmtId="0" fontId="24" fillId="0" borderId="10" xfId="10" applyNumberFormat="1" applyFont="1" applyBorder="1" applyAlignment="1">
      <alignment horizontal="left" wrapText="1"/>
    </xf>
    <xf numFmtId="0" fontId="24" fillId="0" borderId="0" xfId="0" applyFont="1" applyAlignment="1">
      <alignment horizontal="left" wrapText="1"/>
    </xf>
    <xf numFmtId="0" fontId="31" fillId="0" borderId="2" xfId="0" applyFont="1" applyBorder="1" applyAlignment="1">
      <alignment wrapText="1"/>
    </xf>
    <xf numFmtId="0" fontId="24" fillId="0" borderId="0" xfId="0" applyFont="1" applyAlignment="1">
      <alignment horizontal="left" vertical="top" wrapText="1"/>
    </xf>
    <xf numFmtId="180" fontId="44" fillId="2" borderId="3" xfId="0" applyNumberFormat="1" applyFont="1" applyFill="1" applyBorder="1" applyAlignment="1" applyProtection="1">
      <alignment horizontal="left" wrapText="1"/>
      <protection locked="0"/>
    </xf>
    <xf numFmtId="180" fontId="44" fillId="2" borderId="10" xfId="0" applyNumberFormat="1" applyFont="1" applyFill="1" applyBorder="1" applyAlignment="1" applyProtection="1">
      <alignment horizontal="left" wrapText="1"/>
      <protection locked="0"/>
    </xf>
    <xf numFmtId="38" fontId="32" fillId="0" borderId="12" xfId="21" applyNumberFormat="1" applyFont="1" applyBorder="1" applyAlignment="1">
      <alignment horizontal="center" wrapText="1"/>
    </xf>
    <xf numFmtId="0" fontId="8" fillId="0" borderId="9" xfId="0" applyFont="1" applyBorder="1" applyAlignment="1">
      <alignment horizontal="left" wrapText="1"/>
    </xf>
    <xf numFmtId="0" fontId="8" fillId="0" borderId="3" xfId="0" applyFont="1" applyBorder="1" applyAlignment="1">
      <alignment horizontal="left" wrapText="1"/>
    </xf>
    <xf numFmtId="0" fontId="44" fillId="0" borderId="10" xfId="0" applyFont="1" applyBorder="1" applyAlignment="1">
      <alignment wrapText="1"/>
    </xf>
    <xf numFmtId="0" fontId="8" fillId="2" borderId="9" xfId="0" applyFont="1" applyFill="1" applyBorder="1" applyAlignment="1" applyProtection="1">
      <alignment horizontal="left" wrapText="1"/>
      <protection locked="0"/>
    </xf>
    <xf numFmtId="0" fontId="8" fillId="2" borderId="3" xfId="0" applyFont="1" applyFill="1" applyBorder="1" applyAlignment="1" applyProtection="1">
      <alignment horizontal="left" wrapText="1"/>
      <protection locked="0"/>
    </xf>
    <xf numFmtId="0" fontId="44" fillId="0" borderId="10" xfId="0" applyFont="1" applyBorder="1" applyAlignment="1" applyProtection="1">
      <alignment wrapText="1"/>
      <protection locked="0"/>
    </xf>
    <xf numFmtId="181" fontId="8" fillId="2" borderId="9" xfId="0" applyNumberFormat="1" applyFont="1" applyFill="1" applyBorder="1" applyAlignment="1" applyProtection="1">
      <alignment horizontal="left" wrapText="1"/>
      <protection locked="0"/>
    </xf>
    <xf numFmtId="181" fontId="8" fillId="2" borderId="3" xfId="0" applyNumberFormat="1" applyFont="1" applyFill="1" applyBorder="1" applyAlignment="1" applyProtection="1">
      <alignment horizontal="left" wrapText="1"/>
      <protection locked="0"/>
    </xf>
    <xf numFmtId="181" fontId="44" fillId="0" borderId="10" xfId="0" applyNumberFormat="1" applyFont="1" applyBorder="1" applyAlignment="1" applyProtection="1">
      <alignment wrapText="1"/>
      <protection locked="0"/>
    </xf>
    <xf numFmtId="0" fontId="50" fillId="2" borderId="9" xfId="0" applyFont="1" applyFill="1" applyBorder="1" applyAlignment="1" applyProtection="1">
      <alignment horizontal="left" wrapText="1"/>
      <protection locked="0"/>
    </xf>
    <xf numFmtId="0" fontId="50" fillId="2" borderId="3" xfId="0" applyFont="1" applyFill="1" applyBorder="1" applyAlignment="1" applyProtection="1">
      <alignment horizontal="left" wrapText="1"/>
      <protection locked="0"/>
    </xf>
    <xf numFmtId="0" fontId="52" fillId="0" borderId="10" xfId="0" applyFont="1" applyBorder="1" applyAlignment="1" applyProtection="1">
      <alignment wrapText="1"/>
      <protection locked="0"/>
    </xf>
    <xf numFmtId="180" fontId="8" fillId="2" borderId="9" xfId="0" applyNumberFormat="1" applyFont="1" applyFill="1" applyBorder="1" applyAlignment="1" applyProtection="1">
      <alignment horizontal="left" wrapText="1"/>
      <protection locked="0"/>
    </xf>
    <xf numFmtId="180" fontId="8" fillId="2" borderId="3" xfId="0" applyNumberFormat="1" applyFont="1" applyFill="1" applyBorder="1" applyAlignment="1" applyProtection="1">
      <alignment horizontal="left" wrapText="1"/>
      <protection locked="0"/>
    </xf>
    <xf numFmtId="180" fontId="44" fillId="0" borderId="10" xfId="0" applyNumberFormat="1" applyFont="1" applyBorder="1" applyAlignment="1" applyProtection="1">
      <alignment wrapText="1"/>
      <protection locked="0"/>
    </xf>
    <xf numFmtId="0" fontId="19" fillId="0" borderId="0" xfId="0" applyFont="1" applyAlignment="1">
      <alignment horizontal="right"/>
    </xf>
    <xf numFmtId="0" fontId="7" fillId="0" borderId="9" xfId="21" applyFont="1" applyBorder="1" applyAlignment="1">
      <alignment horizontal="center" wrapText="1"/>
    </xf>
    <xf numFmtId="0" fontId="7" fillId="0" borderId="3" xfId="21" applyFont="1" applyBorder="1" applyAlignment="1">
      <alignment horizontal="center" wrapText="1"/>
    </xf>
    <xf numFmtId="0" fontId="7" fillId="0" borderId="10" xfId="21" applyFont="1" applyBorder="1" applyAlignment="1">
      <alignment horizontal="center" wrapText="1"/>
    </xf>
    <xf numFmtId="49" fontId="7" fillId="2" borderId="9" xfId="21" applyNumberFormat="1" applyFont="1" applyFill="1" applyBorder="1" applyAlignment="1" applyProtection="1">
      <alignment horizontal="center" wrapText="1"/>
      <protection locked="0"/>
    </xf>
    <xf numFmtId="49" fontId="7" fillId="2" borderId="3" xfId="21" applyNumberFormat="1" applyFont="1" applyFill="1" applyBorder="1" applyAlignment="1" applyProtection="1">
      <alignment horizontal="center" wrapText="1"/>
      <protection locked="0"/>
    </xf>
    <xf numFmtId="49" fontId="7" fillId="2" borderId="10" xfId="21" applyNumberFormat="1" applyFont="1" applyFill="1" applyBorder="1" applyAlignment="1" applyProtection="1">
      <alignment horizontal="center" wrapText="1"/>
      <protection locked="0"/>
    </xf>
    <xf numFmtId="0" fontId="7" fillId="0" borderId="0" xfId="20" applyFont="1" applyAlignment="1">
      <alignment horizontal="left" wrapText="1"/>
    </xf>
    <xf numFmtId="0" fontId="26" fillId="0" borderId="0" xfId="0" applyFont="1" applyAlignment="1">
      <alignment horizontal="left" wrapText="1"/>
    </xf>
    <xf numFmtId="164" fontId="7" fillId="0" borderId="0" xfId="1" applyNumberFormat="1" applyFont="1" applyAlignment="1" applyProtection="1">
      <alignment horizontal="center" vertical="center"/>
    </xf>
    <xf numFmtId="164" fontId="7" fillId="0" borderId="12" xfId="1" quotePrefix="1" applyNumberFormat="1" applyFont="1" applyBorder="1" applyAlignment="1" applyProtection="1">
      <alignment horizontal="center" vertical="center"/>
    </xf>
    <xf numFmtId="164" fontId="7" fillId="0" borderId="0" xfId="1" applyNumberFormat="1" applyFont="1" applyBorder="1" applyAlignment="1" applyProtection="1">
      <alignment horizontal="center" vertical="center"/>
    </xf>
    <xf numFmtId="165" fontId="7" fillId="0" borderId="0" xfId="1" quotePrefix="1" applyNumberFormat="1" applyFont="1" applyBorder="1" applyAlignment="1" applyProtection="1">
      <alignment horizontal="center" vertical="center"/>
    </xf>
    <xf numFmtId="0" fontId="8" fillId="0" borderId="10" xfId="0" applyFont="1" applyBorder="1" applyAlignment="1">
      <alignment horizontal="left" wrapText="1"/>
    </xf>
    <xf numFmtId="0" fontId="8" fillId="2" borderId="10" xfId="0" applyFont="1" applyFill="1" applyBorder="1" applyAlignment="1" applyProtection="1">
      <alignment horizontal="left" wrapText="1"/>
      <protection locked="0"/>
    </xf>
    <xf numFmtId="181" fontId="8" fillId="2" borderId="10" xfId="0" applyNumberFormat="1" applyFont="1" applyFill="1" applyBorder="1" applyAlignment="1" applyProtection="1">
      <alignment horizontal="left" wrapText="1"/>
      <protection locked="0"/>
    </xf>
    <xf numFmtId="0" fontId="7" fillId="0" borderId="19" xfId="0" applyFont="1" applyBorder="1" applyAlignment="1">
      <alignment horizontal="left" wrapText="1"/>
    </xf>
    <xf numFmtId="0" fontId="7" fillId="0" borderId="0" xfId="0" applyFont="1" applyAlignment="1">
      <alignment horizontal="left" wrapText="1"/>
    </xf>
    <xf numFmtId="0" fontId="7" fillId="0" borderId="20" xfId="0" applyFont="1" applyBorder="1" applyAlignment="1">
      <alignment horizontal="left" wrapText="1"/>
    </xf>
    <xf numFmtId="0" fontId="7" fillId="2" borderId="17" xfId="0" applyFont="1" applyFill="1" applyBorder="1" applyAlignment="1" applyProtection="1">
      <alignment horizontal="left" wrapText="1"/>
      <protection locked="0"/>
    </xf>
    <xf numFmtId="0" fontId="7" fillId="2" borderId="16" xfId="0" applyFont="1" applyFill="1" applyBorder="1" applyAlignment="1" applyProtection="1">
      <alignment horizontal="left" wrapText="1"/>
      <protection locked="0"/>
    </xf>
    <xf numFmtId="0" fontId="7" fillId="2" borderId="18" xfId="0" applyFont="1" applyFill="1" applyBorder="1" applyAlignment="1" applyProtection="1">
      <alignment horizontal="left" wrapText="1"/>
      <protection locked="0"/>
    </xf>
    <xf numFmtId="0" fontId="7" fillId="2" borderId="19" xfId="0" applyFont="1" applyFill="1" applyBorder="1" applyAlignment="1" applyProtection="1">
      <alignment horizontal="left" wrapText="1"/>
      <protection locked="0"/>
    </xf>
    <xf numFmtId="0" fontId="7" fillId="2" borderId="0" xfId="0" applyFont="1" applyFill="1" applyAlignment="1" applyProtection="1">
      <alignment horizontal="left" wrapText="1"/>
      <protection locked="0"/>
    </xf>
    <xf numFmtId="0" fontId="7" fillId="2" borderId="20" xfId="0" applyFont="1" applyFill="1" applyBorder="1" applyAlignment="1" applyProtection="1">
      <alignment horizontal="left" wrapText="1"/>
      <protection locked="0"/>
    </xf>
    <xf numFmtId="0" fontId="7" fillId="2" borderId="11" xfId="0" applyFont="1" applyFill="1" applyBorder="1" applyAlignment="1" applyProtection="1">
      <alignment horizontal="left" wrapText="1"/>
      <protection locked="0"/>
    </xf>
    <xf numFmtId="0" fontId="7" fillId="2" borderId="12" xfId="0" applyFont="1" applyFill="1" applyBorder="1" applyAlignment="1" applyProtection="1">
      <alignment horizontal="left" wrapText="1"/>
      <protection locked="0"/>
    </xf>
    <xf numFmtId="0" fontId="7" fillId="2" borderId="13" xfId="0" applyFont="1" applyFill="1" applyBorder="1" applyAlignment="1" applyProtection="1">
      <alignment horizontal="left" wrapText="1"/>
      <protection locked="0"/>
    </xf>
    <xf numFmtId="0" fontId="7" fillId="0" borderId="17" xfId="20" applyFont="1" applyBorder="1" applyAlignment="1">
      <alignment horizontal="left" vertical="top" wrapText="1"/>
    </xf>
    <xf numFmtId="0" fontId="7" fillId="0" borderId="16" xfId="20" applyFont="1" applyBorder="1" applyAlignment="1">
      <alignment horizontal="left" vertical="top" wrapText="1"/>
    </xf>
    <xf numFmtId="0" fontId="7" fillId="0" borderId="18" xfId="20" applyFont="1" applyBorder="1" applyAlignment="1">
      <alignment horizontal="left" vertical="top" wrapText="1"/>
    </xf>
    <xf numFmtId="0" fontId="7" fillId="0" borderId="19" xfId="20" applyFont="1" applyBorder="1" applyAlignment="1">
      <alignment horizontal="left" vertical="top" wrapText="1"/>
    </xf>
    <xf numFmtId="0" fontId="7" fillId="0" borderId="0" xfId="20" applyFont="1" applyAlignment="1">
      <alignment horizontal="left" vertical="top" wrapText="1"/>
    </xf>
    <xf numFmtId="0" fontId="7" fillId="0" borderId="20" xfId="20" applyFont="1" applyBorder="1" applyAlignment="1">
      <alignment horizontal="left" vertical="top" wrapText="1"/>
    </xf>
    <xf numFmtId="0" fontId="24" fillId="0" borderId="19" xfId="0" applyFont="1" applyBorder="1" applyAlignment="1">
      <alignment wrapText="1"/>
    </xf>
    <xf numFmtId="0" fontId="24" fillId="0" borderId="0" xfId="0" applyFont="1" applyAlignment="1">
      <alignment wrapText="1"/>
    </xf>
    <xf numFmtId="0" fontId="24" fillId="0" borderId="20" xfId="0" applyFont="1" applyBorder="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24" fillId="0" borderId="13" xfId="0" applyFont="1" applyBorder="1" applyAlignment="1">
      <alignment wrapText="1"/>
    </xf>
    <xf numFmtId="0" fontId="7" fillId="8" borderId="0" xfId="20" applyFont="1" applyFill="1" applyAlignment="1">
      <alignment horizontal="left" vertical="top" wrapText="1"/>
    </xf>
    <xf numFmtId="0" fontId="24" fillId="8" borderId="0" xfId="0" applyFont="1" applyFill="1" applyAlignment="1">
      <alignment horizontal="left" vertical="top" wrapText="1"/>
    </xf>
    <xf numFmtId="0" fontId="7" fillId="2" borderId="17" xfId="20" applyFont="1" applyFill="1" applyBorder="1" applyAlignment="1" applyProtection="1">
      <alignment horizontal="left" wrapText="1"/>
      <protection locked="0"/>
    </xf>
    <xf numFmtId="0" fontId="7" fillId="2" borderId="16" xfId="20" applyFont="1" applyFill="1" applyBorder="1" applyAlignment="1" applyProtection="1">
      <alignment horizontal="left" wrapText="1"/>
      <protection locked="0"/>
    </xf>
    <xf numFmtId="0" fontId="7" fillId="2" borderId="18" xfId="20" applyFont="1" applyFill="1" applyBorder="1" applyAlignment="1" applyProtection="1">
      <alignment horizontal="left" wrapText="1"/>
      <protection locked="0"/>
    </xf>
    <xf numFmtId="0" fontId="7" fillId="2" borderId="11" xfId="20" applyFont="1" applyFill="1" applyBorder="1" applyAlignment="1" applyProtection="1">
      <alignment horizontal="left" wrapText="1"/>
      <protection locked="0"/>
    </xf>
    <xf numFmtId="0" fontId="7" fillId="2" borderId="12" xfId="20" applyFont="1" applyFill="1" applyBorder="1" applyAlignment="1" applyProtection="1">
      <alignment horizontal="left" wrapText="1"/>
      <protection locked="0"/>
    </xf>
    <xf numFmtId="0" fontId="7" fillId="2" borderId="13" xfId="20" applyFont="1" applyFill="1" applyBorder="1" applyAlignment="1" applyProtection="1">
      <alignment horizontal="left" wrapText="1"/>
      <protection locked="0"/>
    </xf>
    <xf numFmtId="0" fontId="50" fillId="2" borderId="10" xfId="0" applyFont="1" applyFill="1" applyBorder="1" applyAlignment="1" applyProtection="1">
      <alignment horizontal="left" wrapText="1"/>
      <protection locked="0"/>
    </xf>
    <xf numFmtId="180" fontId="8" fillId="2" borderId="10" xfId="0" applyNumberFormat="1" applyFont="1" applyFill="1" applyBorder="1" applyAlignment="1" applyProtection="1">
      <alignment horizontal="left" wrapText="1"/>
      <protection locked="0"/>
    </xf>
    <xf numFmtId="0" fontId="7" fillId="2" borderId="17" xfId="20" applyFont="1" applyFill="1" applyBorder="1" applyAlignment="1" applyProtection="1">
      <alignment horizontal="left" vertical="top" wrapText="1"/>
      <protection locked="0"/>
    </xf>
    <xf numFmtId="0" fontId="7" fillId="2" borderId="16" xfId="20" applyFont="1" applyFill="1" applyBorder="1" applyAlignment="1" applyProtection="1">
      <alignment horizontal="left" vertical="top" wrapText="1"/>
      <protection locked="0"/>
    </xf>
    <xf numFmtId="0" fontId="7" fillId="2" borderId="18" xfId="20" applyFont="1" applyFill="1" applyBorder="1" applyAlignment="1" applyProtection="1">
      <alignment horizontal="left" vertical="top" wrapText="1"/>
      <protection locked="0"/>
    </xf>
    <xf numFmtId="0" fontId="7" fillId="2" borderId="19" xfId="20" applyFont="1" applyFill="1" applyBorder="1" applyAlignment="1" applyProtection="1">
      <alignment horizontal="left" vertical="top" wrapText="1"/>
      <protection locked="0"/>
    </xf>
    <xf numFmtId="0" fontId="7" fillId="2" borderId="0" xfId="20" applyFont="1" applyFill="1" applyAlignment="1" applyProtection="1">
      <alignment horizontal="left" vertical="top" wrapText="1"/>
      <protection locked="0"/>
    </xf>
    <xf numFmtId="0" fontId="7" fillId="2" borderId="20" xfId="20" applyFont="1" applyFill="1" applyBorder="1" applyAlignment="1" applyProtection="1">
      <alignment horizontal="left" vertical="top" wrapText="1"/>
      <protection locked="0"/>
    </xf>
    <xf numFmtId="0" fontId="7" fillId="2" borderId="11" xfId="20" applyFont="1" applyFill="1" applyBorder="1" applyAlignment="1" applyProtection="1">
      <alignment horizontal="left" vertical="top" wrapText="1"/>
      <protection locked="0"/>
    </xf>
    <xf numFmtId="0" fontId="7" fillId="2" borderId="12" xfId="20" applyFont="1" applyFill="1" applyBorder="1" applyAlignment="1" applyProtection="1">
      <alignment horizontal="left" vertical="top" wrapText="1"/>
      <protection locked="0"/>
    </xf>
    <xf numFmtId="0" fontId="7" fillId="2" borderId="13" xfId="20" applyFont="1" applyFill="1" applyBorder="1" applyAlignment="1" applyProtection="1">
      <alignment horizontal="left" vertical="top" wrapText="1"/>
      <protection locked="0"/>
    </xf>
    <xf numFmtId="0" fontId="7" fillId="2" borderId="17" xfId="0" applyFont="1" applyFill="1" applyBorder="1" applyAlignment="1">
      <alignment horizontal="left" vertical="top" wrapText="1"/>
    </xf>
    <xf numFmtId="0" fontId="7" fillId="2" borderId="16" xfId="0" applyFont="1" applyFill="1" applyBorder="1" applyAlignment="1">
      <alignment horizontal="left" vertical="top" wrapText="1"/>
    </xf>
    <xf numFmtId="0" fontId="7" fillId="2" borderId="18" xfId="0" applyFont="1" applyFill="1" applyBorder="1" applyAlignment="1">
      <alignment horizontal="left" vertical="top" wrapText="1"/>
    </xf>
    <xf numFmtId="0" fontId="7" fillId="2" borderId="19" xfId="0" applyFont="1" applyFill="1" applyBorder="1" applyAlignment="1">
      <alignment horizontal="left" vertical="top" wrapText="1"/>
    </xf>
    <xf numFmtId="0" fontId="7" fillId="2" borderId="0" xfId="0" applyFont="1" applyFill="1" applyAlignment="1">
      <alignment horizontal="left" vertical="top" wrapText="1"/>
    </xf>
    <xf numFmtId="0" fontId="7" fillId="2" borderId="20"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0" borderId="19" xfId="20" applyFont="1" applyBorder="1" applyAlignment="1">
      <alignment horizontal="left" wrapText="1"/>
    </xf>
    <xf numFmtId="0" fontId="7" fillId="0" borderId="20" xfId="20" applyFont="1" applyBorder="1" applyAlignment="1">
      <alignment horizontal="left" wrapText="1"/>
    </xf>
    <xf numFmtId="0" fontId="24" fillId="2" borderId="17" xfId="0" applyFont="1" applyFill="1" applyBorder="1" applyAlignment="1" applyProtection="1">
      <alignment horizontal="left" vertical="top" wrapText="1"/>
      <protection locked="0"/>
    </xf>
    <xf numFmtId="0" fontId="24" fillId="2" borderId="16" xfId="0" applyFont="1" applyFill="1" applyBorder="1" applyAlignment="1" applyProtection="1">
      <alignment horizontal="left" vertical="top" wrapText="1"/>
      <protection locked="0"/>
    </xf>
    <xf numFmtId="0" fontId="24" fillId="2" borderId="18" xfId="0" applyFont="1" applyFill="1" applyBorder="1" applyAlignment="1" applyProtection="1">
      <alignment horizontal="left" vertical="top" wrapText="1"/>
      <protection locked="0"/>
    </xf>
    <xf numFmtId="0" fontId="24" fillId="2" borderId="19" xfId="0" applyFont="1" applyFill="1" applyBorder="1" applyAlignment="1" applyProtection="1">
      <alignment horizontal="left" vertical="top" wrapText="1"/>
      <protection locked="0"/>
    </xf>
    <xf numFmtId="0" fontId="24" fillId="2" borderId="0" xfId="0" applyFont="1" applyFill="1" applyAlignment="1" applyProtection="1">
      <alignment horizontal="left" vertical="top" wrapText="1"/>
      <protection locked="0"/>
    </xf>
    <xf numFmtId="0" fontId="24" fillId="2" borderId="20" xfId="0" applyFont="1" applyFill="1" applyBorder="1" applyAlignment="1" applyProtection="1">
      <alignment horizontal="left" vertical="top" wrapText="1"/>
      <protection locked="0"/>
    </xf>
    <xf numFmtId="0" fontId="24" fillId="2" borderId="11" xfId="0" applyFont="1" applyFill="1" applyBorder="1" applyAlignment="1" applyProtection="1">
      <alignment horizontal="left" vertical="top" wrapText="1"/>
      <protection locked="0"/>
    </xf>
    <xf numFmtId="0" fontId="24" fillId="2" borderId="12" xfId="0" applyFont="1" applyFill="1" applyBorder="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7" fillId="0" borderId="0" xfId="0" applyFont="1" applyAlignment="1">
      <alignment wrapText="1"/>
    </xf>
    <xf numFmtId="0" fontId="7" fillId="2" borderId="17" xfId="0" applyFont="1" applyFill="1" applyBorder="1" applyAlignment="1" applyProtection="1">
      <alignment horizontal="left" vertical="top" wrapText="1"/>
      <protection locked="0"/>
    </xf>
    <xf numFmtId="0" fontId="7" fillId="2" borderId="16"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20"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7" fillId="0" borderId="12" xfId="0" applyFont="1" applyBorder="1" applyAlignment="1">
      <alignment horizontal="left" vertical="top" wrapText="1"/>
    </xf>
    <xf numFmtId="0" fontId="8" fillId="0" borderId="9" xfId="20" applyFont="1" applyBorder="1" applyAlignment="1">
      <alignment horizontal="left" vertical="top" wrapText="1"/>
    </xf>
    <xf numFmtId="0" fontId="8" fillId="0" borderId="3" xfId="20" applyFont="1" applyBorder="1" applyAlignment="1">
      <alignment horizontal="left" vertical="top" wrapText="1"/>
    </xf>
    <xf numFmtId="0" fontId="8" fillId="0" borderId="10" xfId="20" applyFont="1" applyBorder="1" applyAlignment="1">
      <alignment horizontal="left" vertical="top" wrapText="1"/>
    </xf>
    <xf numFmtId="0" fontId="8" fillId="0" borderId="14" xfId="20" applyFont="1" applyBorder="1" applyAlignment="1">
      <alignment horizontal="left" vertical="top" wrapText="1"/>
    </xf>
    <xf numFmtId="0" fontId="8" fillId="0" borderId="14" xfId="0" applyFont="1" applyBorder="1" applyAlignment="1">
      <alignment horizontal="left" vertical="top" wrapText="1"/>
    </xf>
    <xf numFmtId="0" fontId="8" fillId="2" borderId="2" xfId="2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181" fontId="8" fillId="2" borderId="2" xfId="20" applyNumberFormat="1" applyFont="1" applyFill="1" applyBorder="1" applyAlignment="1" applyProtection="1">
      <alignment horizontal="left" vertical="top" wrapText="1"/>
      <protection locked="0"/>
    </xf>
    <xf numFmtId="181" fontId="8" fillId="2" borderId="2" xfId="0" applyNumberFormat="1" applyFont="1" applyFill="1" applyBorder="1" applyAlignment="1" applyProtection="1">
      <alignment horizontal="left" vertical="top" wrapText="1"/>
      <protection locked="0"/>
    </xf>
    <xf numFmtId="0" fontId="50" fillId="2" borderId="2" xfId="20" applyFont="1" applyFill="1" applyBorder="1" applyAlignment="1" applyProtection="1">
      <alignment horizontal="left" vertical="top" wrapText="1"/>
      <protection locked="0"/>
    </xf>
    <xf numFmtId="0" fontId="50" fillId="2" borderId="2" xfId="0" applyFont="1" applyFill="1" applyBorder="1" applyAlignment="1" applyProtection="1">
      <alignment horizontal="left" vertical="top" wrapText="1"/>
      <protection locked="0"/>
    </xf>
    <xf numFmtId="180" fontId="8" fillId="2" borderId="2" xfId="20" applyNumberFormat="1" applyFont="1" applyFill="1" applyBorder="1" applyAlignment="1" applyProtection="1">
      <alignment horizontal="left" vertical="top" wrapText="1"/>
      <protection locked="0"/>
    </xf>
    <xf numFmtId="0" fontId="38" fillId="0" borderId="0" xfId="14" applyFont="1" applyAlignment="1">
      <alignment vertical="top" wrapText="1"/>
    </xf>
    <xf numFmtId="0" fontId="89" fillId="2" borderId="9" xfId="20" applyFont="1" applyFill="1" applyBorder="1" applyAlignment="1" applyProtection="1">
      <alignment vertical="top" wrapText="1"/>
      <protection locked="0"/>
    </xf>
    <xf numFmtId="0" fontId="89" fillId="2" borderId="3" xfId="20" applyFont="1" applyFill="1" applyBorder="1" applyAlignment="1" applyProtection="1">
      <alignment vertical="top" wrapText="1"/>
      <protection locked="0"/>
    </xf>
    <xf numFmtId="0" fontId="89" fillId="2" borderId="10" xfId="20" applyFont="1" applyFill="1" applyBorder="1" applyAlignment="1" applyProtection="1">
      <alignment vertical="top" wrapText="1"/>
      <protection locked="0"/>
    </xf>
    <xf numFmtId="0" fontId="31" fillId="0" borderId="0" xfId="0" applyFont="1" applyAlignment="1">
      <alignment horizontal="left" wrapText="1"/>
    </xf>
    <xf numFmtId="0" fontId="7" fillId="0" borderId="0" xfId="13" applyFont="1" applyAlignment="1">
      <alignment wrapText="1"/>
    </xf>
    <xf numFmtId="0" fontId="7" fillId="2" borderId="9" xfId="13" applyFont="1" applyFill="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9" xfId="13" applyFont="1" applyBorder="1" applyAlignment="1">
      <alignment horizontal="left" wrapText="1"/>
    </xf>
    <xf numFmtId="0" fontId="7" fillId="0" borderId="3" xfId="13" applyFont="1" applyBorder="1" applyAlignment="1">
      <alignment horizontal="left" wrapText="1"/>
    </xf>
    <xf numFmtId="0" fontId="7" fillId="0" borderId="10" xfId="13" applyFont="1" applyBorder="1" applyAlignment="1">
      <alignment horizontal="left" wrapText="1"/>
    </xf>
    <xf numFmtId="0" fontId="7" fillId="2" borderId="9" xfId="13" applyFont="1" applyFill="1" applyBorder="1" applyAlignment="1" applyProtection="1">
      <alignment horizontal="left" vertical="top" wrapText="1"/>
      <protection locked="0"/>
    </xf>
    <xf numFmtId="0" fontId="7" fillId="2" borderId="3" xfId="13" applyFont="1" applyFill="1" applyBorder="1" applyAlignment="1" applyProtection="1">
      <alignment horizontal="left" vertical="top" wrapText="1"/>
      <protection locked="0"/>
    </xf>
    <xf numFmtId="0" fontId="7" fillId="2" borderId="10" xfId="13" applyFont="1" applyFill="1" applyBorder="1" applyAlignment="1" applyProtection="1">
      <alignment horizontal="left" vertical="top" wrapText="1"/>
      <protection locked="0"/>
    </xf>
    <xf numFmtId="0" fontId="32" fillId="2" borderId="9" xfId="0" applyFont="1" applyFill="1" applyBorder="1" applyAlignment="1" applyProtection="1">
      <alignment horizontal="left" vertical="top" wrapText="1"/>
      <protection locked="0"/>
    </xf>
    <xf numFmtId="0" fontId="32" fillId="2" borderId="3" xfId="0" applyFont="1" applyFill="1" applyBorder="1" applyAlignment="1" applyProtection="1">
      <alignment horizontal="left" vertical="top" wrapText="1"/>
      <protection locked="0"/>
    </xf>
    <xf numFmtId="0" fontId="32" fillId="2" borderId="10" xfId="0" applyFont="1" applyFill="1" applyBorder="1" applyAlignment="1" applyProtection="1">
      <alignment horizontal="left" vertical="top" wrapText="1"/>
      <protection locked="0"/>
    </xf>
    <xf numFmtId="0" fontId="8" fillId="0" borderId="2" xfId="20" applyFont="1" applyBorder="1" applyAlignment="1">
      <alignment horizontal="left" vertical="top" wrapText="1"/>
    </xf>
    <xf numFmtId="0" fontId="8" fillId="0" borderId="2" xfId="0" applyFont="1" applyBorder="1" applyAlignment="1">
      <alignment horizontal="left" vertical="top" wrapText="1"/>
    </xf>
    <xf numFmtId="166" fontId="7" fillId="0" borderId="0" xfId="0" applyNumberFormat="1" applyFont="1" applyAlignment="1">
      <alignment horizontal="left" wrapText="1"/>
    </xf>
    <xf numFmtId="180" fontId="8" fillId="2" borderId="2" xfId="0" applyNumberFormat="1" applyFont="1" applyFill="1" applyBorder="1" applyAlignment="1" applyProtection="1">
      <alignment horizontal="left" vertical="top" wrapText="1"/>
      <protection locked="0"/>
    </xf>
    <xf numFmtId="0" fontId="7" fillId="0" borderId="0" xfId="14" applyFont="1" applyAlignment="1">
      <alignment horizontal="left" wrapText="1"/>
    </xf>
    <xf numFmtId="0" fontId="7" fillId="0" borderId="17" xfId="0" applyFont="1" applyBorder="1" applyAlignment="1">
      <alignment vertical="top" wrapText="1"/>
    </xf>
    <xf numFmtId="0" fontId="7" fillId="0" borderId="16" xfId="0" applyFont="1" applyBorder="1" applyAlignment="1">
      <alignment vertical="top" wrapText="1"/>
    </xf>
    <xf numFmtId="0" fontId="7" fillId="0" borderId="18" xfId="0" applyFont="1" applyBorder="1" applyAlignment="1">
      <alignment vertical="top"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57" fillId="0" borderId="12" xfId="106" applyFont="1" applyBorder="1" applyAlignment="1">
      <alignment horizontal="left" wrapText="1"/>
    </xf>
    <xf numFmtId="0" fontId="8" fillId="2" borderId="2" xfId="0" applyFont="1" applyFill="1" applyBorder="1" applyAlignment="1" applyProtection="1">
      <alignment horizontal="center" vertical="top" wrapText="1"/>
      <protection locked="0"/>
    </xf>
    <xf numFmtId="0" fontId="8" fillId="0" borderId="0" xfId="20" applyFont="1" applyAlignment="1">
      <alignment horizontal="center" vertical="top" wrapText="1"/>
    </xf>
    <xf numFmtId="0" fontId="53" fillId="2" borderId="2" xfId="0" applyFont="1" applyFill="1" applyBorder="1" applyAlignment="1" applyProtection="1">
      <alignment horizontal="left" wrapText="1"/>
      <protection locked="0"/>
    </xf>
    <xf numFmtId="180" fontId="31" fillId="2" borderId="2" xfId="0" applyNumberFormat="1" applyFont="1" applyFill="1" applyBorder="1" applyAlignment="1" applyProtection="1">
      <alignment horizontal="left" wrapText="1"/>
      <protection locked="0"/>
    </xf>
    <xf numFmtId="0" fontId="31" fillId="0" borderId="2" xfId="0" applyFont="1" applyBorder="1" applyAlignment="1">
      <alignment horizontal="left" wrapText="1"/>
    </xf>
    <xf numFmtId="0" fontId="31" fillId="2" borderId="2" xfId="0" applyFont="1" applyFill="1" applyBorder="1" applyAlignment="1" applyProtection="1">
      <alignment horizontal="left" wrapText="1"/>
      <protection locked="0"/>
    </xf>
    <xf numFmtId="181" fontId="31" fillId="2" borderId="2" xfId="0" applyNumberFormat="1" applyFont="1" applyFill="1" applyBorder="1" applyAlignment="1" applyProtection="1">
      <alignment horizontal="left" wrapText="1"/>
      <protection locked="0"/>
    </xf>
    <xf numFmtId="0" fontId="24" fillId="2" borderId="2" xfId="17" applyFont="1" applyFill="1" applyBorder="1" applyAlignment="1" applyProtection="1">
      <alignment horizontal="left" vertical="top" wrapText="1"/>
      <protection locked="0"/>
    </xf>
    <xf numFmtId="0" fontId="24" fillId="2" borderId="2" xfId="17" applyFont="1" applyFill="1" applyBorder="1" applyAlignment="1" applyProtection="1">
      <alignment wrapText="1"/>
      <protection locked="0"/>
    </xf>
    <xf numFmtId="0" fontId="24" fillId="0" borderId="0" xfId="9" applyFont="1" applyAlignment="1">
      <alignment horizontal="left" wrapText="1"/>
    </xf>
    <xf numFmtId="0" fontId="23" fillId="0" borderId="2" xfId="18" applyFont="1" applyBorder="1" applyAlignment="1">
      <alignment horizontal="left" vertical="top" wrapText="1"/>
    </xf>
    <xf numFmtId="3" fontId="23" fillId="0" borderId="2" xfId="18" applyNumberFormat="1" applyFont="1" applyBorder="1" applyAlignment="1">
      <alignment horizontal="left" vertical="top" wrapText="1"/>
    </xf>
    <xf numFmtId="0" fontId="8" fillId="0" borderId="0" xfId="0" applyFont="1" applyAlignment="1">
      <alignment wrapText="1"/>
    </xf>
    <xf numFmtId="0" fontId="31" fillId="0" borderId="0" xfId="21" applyFont="1" applyAlignment="1">
      <alignment horizontal="left" wrapText="1"/>
    </xf>
    <xf numFmtId="0" fontId="24" fillId="0" borderId="9" xfId="0" applyFont="1" applyBorder="1" applyAlignment="1">
      <alignment horizontal="left" vertical="top" wrapText="1"/>
    </xf>
    <xf numFmtId="0" fontId="24" fillId="0" borderId="3" xfId="0" applyFont="1" applyBorder="1" applyAlignment="1">
      <alignment horizontal="left" vertical="top" wrapText="1"/>
    </xf>
    <xf numFmtId="0" fontId="24" fillId="0" borderId="10" xfId="0" applyFont="1" applyBorder="1" applyAlignment="1">
      <alignment horizontal="left" vertical="top" wrapText="1"/>
    </xf>
    <xf numFmtId="0" fontId="23" fillId="0" borderId="17" xfId="0" applyFont="1" applyBorder="1" applyAlignment="1">
      <alignment horizontal="left" vertical="top" wrapText="1"/>
    </xf>
    <xf numFmtId="0" fontId="23" fillId="0" borderId="16" xfId="0" applyFont="1" applyBorder="1" applyAlignment="1">
      <alignment horizontal="left" vertical="top" wrapText="1"/>
    </xf>
    <xf numFmtId="0" fontId="23" fillId="0" borderId="18" xfId="0" applyFont="1" applyBorder="1" applyAlignment="1">
      <alignment horizontal="left" vertical="top" wrapText="1"/>
    </xf>
    <xf numFmtId="0" fontId="24" fillId="0" borderId="2" xfId="37" applyFont="1" applyBorder="1" applyAlignment="1">
      <alignment horizontal="left" vertical="top" wrapText="1"/>
    </xf>
    <xf numFmtId="0" fontId="23" fillId="0" borderId="2" xfId="37" applyFont="1" applyBorder="1" applyAlignment="1">
      <alignment horizontal="left" vertical="top" wrapText="1"/>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9" xfId="0" applyFont="1" applyBorder="1" applyAlignment="1">
      <alignment horizontal="left" vertical="top" wrapText="1"/>
    </xf>
    <xf numFmtId="0" fontId="23" fillId="0" borderId="3" xfId="0" applyFont="1" applyBorder="1" applyAlignment="1">
      <alignment horizontal="left" vertical="top" wrapText="1"/>
    </xf>
    <xf numFmtId="0" fontId="23" fillId="0" borderId="10" xfId="0" applyFont="1" applyBorder="1" applyAlignment="1">
      <alignment horizontal="left" vertical="top" wrapText="1"/>
    </xf>
    <xf numFmtId="0" fontId="24" fillId="0" borderId="19" xfId="0" applyFont="1" applyBorder="1" applyAlignment="1">
      <alignment horizontal="left" vertical="top" wrapText="1"/>
    </xf>
    <xf numFmtId="0" fontId="24" fillId="0" borderId="20" xfId="0" applyFont="1" applyBorder="1" applyAlignment="1">
      <alignment horizontal="left" vertical="top" wrapText="1"/>
    </xf>
    <xf numFmtId="0" fontId="24"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3" fillId="0" borderId="19" xfId="0" applyFont="1" applyBorder="1" applyAlignment="1">
      <alignment horizontal="left" vertical="top" wrapText="1"/>
    </xf>
    <xf numFmtId="0" fontId="23" fillId="0" borderId="0" xfId="0" applyFont="1" applyAlignment="1">
      <alignment horizontal="left" vertical="top" wrapText="1"/>
    </xf>
    <xf numFmtId="0" fontId="23" fillId="0" borderId="20" xfId="0" applyFont="1" applyBorder="1" applyAlignment="1">
      <alignment horizontal="left" vertical="top" wrapText="1"/>
    </xf>
    <xf numFmtId="0" fontId="24" fillId="0" borderId="11" xfId="9" applyFont="1" applyBorder="1" applyAlignment="1">
      <alignment horizontal="left" wrapText="1"/>
    </xf>
    <xf numFmtId="0" fontId="0" fillId="0" borderId="12" xfId="0" applyBorder="1"/>
    <xf numFmtId="0" fontId="0" fillId="0" borderId="13" xfId="0" applyBorder="1"/>
    <xf numFmtId="0" fontId="8" fillId="0" borderId="2" xfId="0" applyFont="1" applyBorder="1" applyAlignment="1">
      <alignment wrapText="1"/>
    </xf>
  </cellXfs>
  <cellStyles count="142">
    <cellStyle name="Comma" xfId="1" builtinId="3"/>
    <cellStyle name="Comma 2" xfId="43" xr:uid="{00000000-0005-0000-0000-000001000000}"/>
    <cellStyle name="Comma 2 2" xfId="107" xr:uid="{00000000-0005-0000-0000-000002000000}"/>
    <cellStyle name="Comma 2 2 2" xfId="108" xr:uid="{00000000-0005-0000-0000-000003000000}"/>
    <cellStyle name="Comma 3" xfId="65" xr:uid="{00000000-0005-0000-0000-000004000000}"/>
    <cellStyle name="Comma 3 2" xfId="85" xr:uid="{00000000-0005-0000-0000-000005000000}"/>
    <cellStyle name="Comma 3 2 2" xfId="109" xr:uid="{00000000-0005-0000-0000-000006000000}"/>
    <cellStyle name="Comma 3 3" xfId="105" xr:uid="{00000000-0005-0000-0000-000007000000}"/>
    <cellStyle name="Comma 3 4" xfId="110" xr:uid="{00000000-0005-0000-0000-000008000000}"/>
    <cellStyle name="Comma 4" xfId="111" xr:uid="{00000000-0005-0000-0000-000009000000}"/>
    <cellStyle name="Comma 4 2" xfId="112" xr:uid="{00000000-0005-0000-0000-00000A000000}"/>
    <cellStyle name="Comma0" xfId="2" xr:uid="{00000000-0005-0000-0000-00000B000000}"/>
    <cellStyle name="Currency" xfId="39" builtinId="4"/>
    <cellStyle name="Currency 2" xfId="41" xr:uid="{00000000-0005-0000-0000-00000D000000}"/>
    <cellStyle name="Currency0" xfId="3" xr:uid="{00000000-0005-0000-0000-00000E000000}"/>
    <cellStyle name="Date" xfId="4" xr:uid="{00000000-0005-0000-0000-00000F000000}"/>
    <cellStyle name="Fixed" xfId="5" xr:uid="{00000000-0005-0000-0000-000010000000}"/>
    <cellStyle name="Heading 1" xfId="6" builtinId="16" customBuiltin="1"/>
    <cellStyle name="Heading 1 2" xfId="44" xr:uid="{00000000-0005-0000-0000-000012000000}"/>
    <cellStyle name="Heading 1 3" xfId="113" xr:uid="{00000000-0005-0000-0000-000013000000}"/>
    <cellStyle name="Heading 2" xfId="7" builtinId="17" customBuiltin="1"/>
    <cellStyle name="Heading 2 2" xfId="45" xr:uid="{00000000-0005-0000-0000-000015000000}"/>
    <cellStyle name="Heading 2 3" xfId="114" xr:uid="{00000000-0005-0000-0000-000016000000}"/>
    <cellStyle name="Hyperlink" xfId="8" builtinId="8"/>
    <cellStyle name="Hyperlink 2" xfId="115" xr:uid="{00000000-0005-0000-0000-000018000000}"/>
    <cellStyle name="Hyperlink 3" xfId="116" xr:uid="{00000000-0005-0000-0000-000019000000}"/>
    <cellStyle name="Normal" xfId="0" builtinId="0"/>
    <cellStyle name="Normal 2" xfId="37" xr:uid="{00000000-0005-0000-0000-00001B000000}"/>
    <cellStyle name="Normal 2 2" xfId="40" xr:uid="{00000000-0005-0000-0000-00001C000000}"/>
    <cellStyle name="Normal 2 2 2" xfId="117" xr:uid="{00000000-0005-0000-0000-00001D000000}"/>
    <cellStyle name="Normal 2 2 3" xfId="118" xr:uid="{00000000-0005-0000-0000-00001E000000}"/>
    <cellStyle name="Normal 3" xfId="35" xr:uid="{00000000-0005-0000-0000-00001F000000}"/>
    <cellStyle name="Normal 3 2" xfId="119" xr:uid="{00000000-0005-0000-0000-000020000000}"/>
    <cellStyle name="Normal 3 2 2" xfId="120" xr:uid="{00000000-0005-0000-0000-000021000000}"/>
    <cellStyle name="Normal 3 2 3" xfId="121" xr:uid="{00000000-0005-0000-0000-000022000000}"/>
    <cellStyle name="Normal 3 3" xfId="122" xr:uid="{00000000-0005-0000-0000-000023000000}"/>
    <cellStyle name="Normal 3 4" xfId="123" xr:uid="{00000000-0005-0000-0000-000024000000}"/>
    <cellStyle name="Normal 3 5" xfId="124" xr:uid="{00000000-0005-0000-0000-000025000000}"/>
    <cellStyle name="Normal 3 6" xfId="125" xr:uid="{00000000-0005-0000-0000-000026000000}"/>
    <cellStyle name="Normal 4" xfId="42" xr:uid="{00000000-0005-0000-0000-000027000000}"/>
    <cellStyle name="Normal 4 2" xfId="47" xr:uid="{00000000-0005-0000-0000-000028000000}"/>
    <cellStyle name="Normal 4 2 2" xfId="49" xr:uid="{00000000-0005-0000-0000-000029000000}"/>
    <cellStyle name="Normal 4 2 2 2" xfId="54" xr:uid="{00000000-0005-0000-0000-00002A000000}"/>
    <cellStyle name="Normal 4 2 2 2 2" xfId="74" xr:uid="{00000000-0005-0000-0000-00002B000000}"/>
    <cellStyle name="Normal 4 2 2 2 3" xfId="94" xr:uid="{00000000-0005-0000-0000-00002C000000}"/>
    <cellStyle name="Normal 4 2 2 3" xfId="59" xr:uid="{00000000-0005-0000-0000-00002D000000}"/>
    <cellStyle name="Normal 4 2 2 3 2" xfId="79" xr:uid="{00000000-0005-0000-0000-00002E000000}"/>
    <cellStyle name="Normal 4 2 2 3 3" xfId="99" xr:uid="{00000000-0005-0000-0000-00002F000000}"/>
    <cellStyle name="Normal 4 2 2 4" xfId="69" xr:uid="{00000000-0005-0000-0000-000030000000}"/>
    <cellStyle name="Normal 4 2 2 5" xfId="89" xr:uid="{00000000-0005-0000-0000-000031000000}"/>
    <cellStyle name="Normal 4 2 3" xfId="52" xr:uid="{00000000-0005-0000-0000-000032000000}"/>
    <cellStyle name="Normal 4 2 3 2" xfId="62" xr:uid="{00000000-0005-0000-0000-000033000000}"/>
    <cellStyle name="Normal 4 2 3 2 2" xfId="82" xr:uid="{00000000-0005-0000-0000-000034000000}"/>
    <cellStyle name="Normal 4 2 3 2 3" xfId="102" xr:uid="{00000000-0005-0000-0000-000035000000}"/>
    <cellStyle name="Normal 4 2 3 3" xfId="72" xr:uid="{00000000-0005-0000-0000-000036000000}"/>
    <cellStyle name="Normal 4 2 3 4" xfId="92" xr:uid="{00000000-0005-0000-0000-000037000000}"/>
    <cellStyle name="Normal 4 2 4" xfId="57" xr:uid="{00000000-0005-0000-0000-000038000000}"/>
    <cellStyle name="Normal 4 2 4 2" xfId="77" xr:uid="{00000000-0005-0000-0000-000039000000}"/>
    <cellStyle name="Normal 4 2 4 3" xfId="97" xr:uid="{00000000-0005-0000-0000-00003A000000}"/>
    <cellStyle name="Normal 4 2 5" xfId="67" xr:uid="{00000000-0005-0000-0000-00003B000000}"/>
    <cellStyle name="Normal 4 2 6" xfId="87" xr:uid="{00000000-0005-0000-0000-00003C000000}"/>
    <cellStyle name="Normal 4 2 7" xfId="126" xr:uid="{00000000-0005-0000-0000-00003D000000}"/>
    <cellStyle name="Normal 4 3" xfId="48" xr:uid="{00000000-0005-0000-0000-00003E000000}"/>
    <cellStyle name="Normal 4 3 2" xfId="53" xr:uid="{00000000-0005-0000-0000-00003F000000}"/>
    <cellStyle name="Normal 4 3 2 2" xfId="73" xr:uid="{00000000-0005-0000-0000-000040000000}"/>
    <cellStyle name="Normal 4 3 2 3" xfId="93" xr:uid="{00000000-0005-0000-0000-000041000000}"/>
    <cellStyle name="Normal 4 3 3" xfId="58" xr:uid="{00000000-0005-0000-0000-000042000000}"/>
    <cellStyle name="Normal 4 3 3 2" xfId="78" xr:uid="{00000000-0005-0000-0000-000043000000}"/>
    <cellStyle name="Normal 4 3 3 3" xfId="98" xr:uid="{00000000-0005-0000-0000-000044000000}"/>
    <cellStyle name="Normal 4 3 4" xfId="68" xr:uid="{00000000-0005-0000-0000-000045000000}"/>
    <cellStyle name="Normal 4 3 5" xfId="88" xr:uid="{00000000-0005-0000-0000-000046000000}"/>
    <cellStyle name="Normal 4 4" xfId="51" xr:uid="{00000000-0005-0000-0000-000047000000}"/>
    <cellStyle name="Normal 4 4 2" xfId="61" xr:uid="{00000000-0005-0000-0000-000048000000}"/>
    <cellStyle name="Normal 4 4 2 2" xfId="81" xr:uid="{00000000-0005-0000-0000-000049000000}"/>
    <cellStyle name="Normal 4 4 2 3" xfId="101" xr:uid="{00000000-0005-0000-0000-00004A000000}"/>
    <cellStyle name="Normal 4 4 3" xfId="71" xr:uid="{00000000-0005-0000-0000-00004B000000}"/>
    <cellStyle name="Normal 4 4 4" xfId="91" xr:uid="{00000000-0005-0000-0000-00004C000000}"/>
    <cellStyle name="Normal 4 5" xfId="56" xr:uid="{00000000-0005-0000-0000-00004D000000}"/>
    <cellStyle name="Normal 4 5 2" xfId="76" xr:uid="{00000000-0005-0000-0000-00004E000000}"/>
    <cellStyle name="Normal 4 5 3" xfId="96" xr:uid="{00000000-0005-0000-0000-00004F000000}"/>
    <cellStyle name="Normal 4 6" xfId="66" xr:uid="{00000000-0005-0000-0000-000050000000}"/>
    <cellStyle name="Normal 4 7" xfId="86" xr:uid="{00000000-0005-0000-0000-000051000000}"/>
    <cellStyle name="Normal 4 8" xfId="127" xr:uid="{00000000-0005-0000-0000-000052000000}"/>
    <cellStyle name="Normal 4 9" xfId="128" xr:uid="{00000000-0005-0000-0000-000053000000}"/>
    <cellStyle name="Normal 5" xfId="50" xr:uid="{00000000-0005-0000-0000-000054000000}"/>
    <cellStyle name="Normal 5 2" xfId="55" xr:uid="{00000000-0005-0000-0000-000055000000}"/>
    <cellStyle name="Normal 5 2 2" xfId="63" xr:uid="{00000000-0005-0000-0000-000056000000}"/>
    <cellStyle name="Normal 5 2 2 2" xfId="83" xr:uid="{00000000-0005-0000-0000-000057000000}"/>
    <cellStyle name="Normal 5 2 2 3" xfId="103" xr:uid="{00000000-0005-0000-0000-000058000000}"/>
    <cellStyle name="Normal 5 2 3" xfId="75" xr:uid="{00000000-0005-0000-0000-000059000000}"/>
    <cellStyle name="Normal 5 2 4" xfId="95" xr:uid="{00000000-0005-0000-0000-00005A000000}"/>
    <cellStyle name="Normal 5 3" xfId="60" xr:uid="{00000000-0005-0000-0000-00005B000000}"/>
    <cellStyle name="Normal 5 3 2" xfId="80" xr:uid="{00000000-0005-0000-0000-00005C000000}"/>
    <cellStyle name="Normal 5 3 3" xfId="100" xr:uid="{00000000-0005-0000-0000-00005D000000}"/>
    <cellStyle name="Normal 5 4" xfId="70" xr:uid="{00000000-0005-0000-0000-00005E000000}"/>
    <cellStyle name="Normal 5 5" xfId="90" xr:uid="{00000000-0005-0000-0000-00005F000000}"/>
    <cellStyle name="Normal 6" xfId="64" xr:uid="{00000000-0005-0000-0000-000060000000}"/>
    <cellStyle name="Normal 6 2" xfId="84" xr:uid="{00000000-0005-0000-0000-000061000000}"/>
    <cellStyle name="Normal 6 2 2" xfId="129" xr:uid="{00000000-0005-0000-0000-000062000000}"/>
    <cellStyle name="Normal 6 3" xfId="104" xr:uid="{00000000-0005-0000-0000-000063000000}"/>
    <cellStyle name="Normal 6 4" xfId="130" xr:uid="{00000000-0005-0000-0000-000064000000}"/>
    <cellStyle name="Normal 7" xfId="131" xr:uid="{00000000-0005-0000-0000-000065000000}"/>
    <cellStyle name="Normal 7 2" xfId="132" xr:uid="{00000000-0005-0000-0000-000066000000}"/>
    <cellStyle name="Normal 7 3" xfId="133" xr:uid="{00000000-0005-0000-0000-000067000000}"/>
    <cellStyle name="Normal 7 4" xfId="134" xr:uid="{00000000-0005-0000-0000-000068000000}"/>
    <cellStyle name="Normal 7 5" xfId="135" xr:uid="{00000000-0005-0000-0000-000069000000}"/>
    <cellStyle name="Normal 8" xfId="136" xr:uid="{00000000-0005-0000-0000-00006A000000}"/>
    <cellStyle name="Normal_Att HE-14-Cash" xfId="9" xr:uid="{00000000-0005-0000-0000-00006B000000}"/>
    <cellStyle name="Normal_Att_B" xfId="10" xr:uid="{00000000-0005-0000-0000-00006C000000}"/>
    <cellStyle name="Normal_Att_B(2)" xfId="38" xr:uid="{00000000-0005-0000-0000-00006D000000}"/>
    <cellStyle name="Normal_Att_C" xfId="11" xr:uid="{00000000-0005-0000-0000-00006E000000}"/>
    <cellStyle name="Normal_Att_E" xfId="12" xr:uid="{00000000-0005-0000-0000-00006F000000}"/>
    <cellStyle name="Normal_Att17" xfId="13" xr:uid="{00000000-0005-0000-0000-000070000000}"/>
    <cellStyle name="Normal_Att9" xfId="14" xr:uid="{00000000-0005-0000-0000-000071000000}"/>
    <cellStyle name="Normal_Attachment HE-9, ETF 99 &amp; later" xfId="15" xr:uid="{00000000-0005-0000-0000-000072000000}"/>
    <cellStyle name="Normal_Book2" xfId="16" xr:uid="{00000000-0005-0000-0000-000073000000}"/>
    <cellStyle name="Normal_Certification tab (version 2)" xfId="17" xr:uid="{00000000-0005-0000-0000-000074000000}"/>
    <cellStyle name="Normal_Copy of Certification tab (version 2)" xfId="18" xr:uid="{00000000-0005-0000-0000-000075000000}"/>
    <cellStyle name="Normal_federal_schedules" xfId="19" xr:uid="{00000000-0005-0000-0000-000076000000}"/>
    <cellStyle name="Normal_Property, Plant &amp; Equipment" xfId="20" xr:uid="{00000000-0005-0000-0000-000077000000}"/>
    <cellStyle name="Normal_Receivables" xfId="21" xr:uid="{00000000-0005-0000-0000-000078000000}"/>
    <cellStyle name="Normal_Receivables 2" xfId="106" xr:uid="{00000000-0005-0000-0000-000079000000}"/>
    <cellStyle name="Normal_VLOOKUP" xfId="141" xr:uid="{00000000-0005-0000-0000-00007A000000}"/>
    <cellStyle name="Number0DecimalStyle" xfId="22" xr:uid="{00000000-0005-0000-0000-00007B000000}"/>
    <cellStyle name="Number10DecimalStyle" xfId="23" xr:uid="{00000000-0005-0000-0000-00007C000000}"/>
    <cellStyle name="Number1DecimalStyle" xfId="24" xr:uid="{00000000-0005-0000-0000-00007D000000}"/>
    <cellStyle name="Number2DecimalStyle" xfId="25" xr:uid="{00000000-0005-0000-0000-00007E000000}"/>
    <cellStyle name="Number3DecimalStyle" xfId="26" xr:uid="{00000000-0005-0000-0000-00007F000000}"/>
    <cellStyle name="Number4DecimalStyle" xfId="27" xr:uid="{00000000-0005-0000-0000-000080000000}"/>
    <cellStyle name="Number5DecimalStyle" xfId="28" xr:uid="{00000000-0005-0000-0000-000081000000}"/>
    <cellStyle name="Number6DecimalStyle" xfId="29" xr:uid="{00000000-0005-0000-0000-000082000000}"/>
    <cellStyle name="Number7DecimalStyle" xfId="30" xr:uid="{00000000-0005-0000-0000-000083000000}"/>
    <cellStyle name="Number8DecimalStyle" xfId="31" xr:uid="{00000000-0005-0000-0000-000084000000}"/>
    <cellStyle name="Number9DecimalStyle" xfId="32" xr:uid="{00000000-0005-0000-0000-000085000000}"/>
    <cellStyle name="Percent 2" xfId="36" xr:uid="{00000000-0005-0000-0000-000086000000}"/>
    <cellStyle name="Percent 3" xfId="137" xr:uid="{00000000-0005-0000-0000-000087000000}"/>
    <cellStyle name="Percent 3 2" xfId="138" xr:uid="{00000000-0005-0000-0000-000088000000}"/>
    <cellStyle name="Style 1" xfId="139" xr:uid="{00000000-0005-0000-0000-000089000000}"/>
    <cellStyle name="TextStyle" xfId="33" xr:uid="{00000000-0005-0000-0000-00008A000000}"/>
    <cellStyle name="Total" xfId="34" builtinId="25" customBuiltin="1"/>
    <cellStyle name="Total 2" xfId="46" xr:uid="{00000000-0005-0000-0000-00008C000000}"/>
    <cellStyle name="Total 3" xfId="140" xr:uid="{00000000-0005-0000-0000-00008D000000}"/>
  </cellStyles>
  <dxfs count="6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
      <font>
        <b/>
        <i val="0"/>
        <color rgb="FFFF0000"/>
      </font>
    </dxf>
    <dxf>
      <font>
        <b/>
        <i val="0"/>
        <strike val="0"/>
        <color rgb="FFC00000"/>
      </font>
    </dxf>
  </dxfs>
  <tableStyles count="1" defaultTableStyle="TableStyleMedium9" defaultPivotStyle="PivotStyleLight16">
    <tableStyle name="Invisible" pivot="0" table="0" count="0" xr9:uid="{FB9D5748-2426-48DC-B9CD-176A4EAEA353}"/>
  </tableStyles>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142875</xdr:colOff>
          <xdr:row>29</xdr:row>
          <xdr:rowOff>19050</xdr:rowOff>
        </xdr:from>
        <xdr:to>
          <xdr:col>10</xdr:col>
          <xdr:colOff>352425</xdr:colOff>
          <xdr:row>30</xdr:row>
          <xdr:rowOff>9525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C00-000002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19050</xdr:rowOff>
        </xdr:from>
        <xdr:to>
          <xdr:col>10</xdr:col>
          <xdr:colOff>352425</xdr:colOff>
          <xdr:row>33</xdr:row>
          <xdr:rowOff>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C00-000003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35</xdr:row>
          <xdr:rowOff>19050</xdr:rowOff>
        </xdr:from>
        <xdr:to>
          <xdr:col>10</xdr:col>
          <xdr:colOff>371475</xdr:colOff>
          <xdr:row>36</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C00-000004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38</xdr:row>
          <xdr:rowOff>28575</xdr:rowOff>
        </xdr:from>
        <xdr:to>
          <xdr:col>10</xdr:col>
          <xdr:colOff>390525</xdr:colOff>
          <xdr:row>39</xdr:row>
          <xdr:rowOff>9525</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C00-000005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46</xdr:row>
          <xdr:rowOff>9525</xdr:rowOff>
        </xdr:from>
        <xdr:to>
          <xdr:col>10</xdr:col>
          <xdr:colOff>438150</xdr:colOff>
          <xdr:row>46</xdr:row>
          <xdr:rowOff>161925</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C00-000006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43</xdr:row>
          <xdr:rowOff>9525</xdr:rowOff>
        </xdr:from>
        <xdr:to>
          <xdr:col>10</xdr:col>
          <xdr:colOff>409575</xdr:colOff>
          <xdr:row>44</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C00-000007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49</xdr:row>
          <xdr:rowOff>28575</xdr:rowOff>
        </xdr:from>
        <xdr:to>
          <xdr:col>10</xdr:col>
          <xdr:colOff>447675</xdr:colOff>
          <xdr:row>50</xdr:row>
          <xdr:rowOff>9525</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C00-000008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52</xdr:row>
          <xdr:rowOff>19050</xdr:rowOff>
        </xdr:from>
        <xdr:to>
          <xdr:col>10</xdr:col>
          <xdr:colOff>457200</xdr:colOff>
          <xdr:row>53</xdr:row>
          <xdr:rowOff>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C00-0000099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tive/Fiscal%202021/CU%20Directive/AttCU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nent Unit Template"/>
      <sheetName val="Prior Year Amounts"/>
      <sheetName val="Template Flux"/>
      <sheetName val="Tab 1A - Detail"/>
      <sheetName val="Tab 1A - Detail Fdn"/>
      <sheetName val="1B-Cash Eq. &amp; Inv. Not w Tr"/>
      <sheetName val="Tab 1B-Cash Eq. &amp; Inv. Not w Tr"/>
      <sheetName val="Tab 1C - Foreign Currency Inv"/>
      <sheetName val="Tab 1D - Recordation"/>
      <sheetName val="Tab 2 - Receivables"/>
      <sheetName val="Tab 3 - Capital Assets"/>
      <sheetName val="Tab 4 - LT Liabilities"/>
      <sheetName val="Tab 4A - Short-term Debt"/>
      <sheetName val="Tab 5 - Commitments"/>
      <sheetName val="Tab 6 - Restatements"/>
      <sheetName val="Tab 7 - Inventory"/>
      <sheetName val="Tab 8 - Miscellaneous"/>
      <sheetName val="Tab 9 - Imprmnt. of Cap. Assets"/>
      <sheetName val="Tab 10 - Net Inv in Cap Assets"/>
      <sheetName val="Certification"/>
      <sheetName val="Revision Control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comments" Target="../comments10.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vmlDrawing" Target="../drawings/vmlDrawing10.vml"/><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0.bin"/><Relationship Id="rId7" Type="http://schemas.openxmlformats.org/officeDocument/2006/relationships/comments" Target="../comments11.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vmlDrawing" Target="../drawings/vmlDrawing11.vml"/><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5.bin"/><Relationship Id="rId7" Type="http://schemas.openxmlformats.org/officeDocument/2006/relationships/comments" Target="../comments12.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vmlDrawing" Target="../drawings/vmlDrawing12.vml"/><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printerSettings" Target="../printerSettings/printerSettings60.bin"/><Relationship Id="rId7" Type="http://schemas.openxmlformats.org/officeDocument/2006/relationships/vmlDrawing" Target="../drawings/vmlDrawing13.vml"/><Relationship Id="rId12" Type="http://schemas.openxmlformats.org/officeDocument/2006/relationships/ctrlProp" Target="../ctrlProps/ctrlProp5.xml"/><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62.bin"/><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printerSettings" Target="../printerSettings/printerSettings61.bin"/><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2.v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comments" Target="../comments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vmlDrawing" Target="../drawings/vmlDrawing4.vml"/><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0.bin"/><Relationship Id="rId7" Type="http://schemas.openxmlformats.org/officeDocument/2006/relationships/comments" Target="../comments5.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vmlDrawing" Target="../drawings/vmlDrawing5.vml"/><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comments" Target="../comments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vmlDrawing" Target="../drawings/vmlDrawing6.vml"/><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comments" Target="../comments7.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vmlDrawing" Target="../drawings/vmlDrawing7.vml"/><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5.bin"/><Relationship Id="rId7" Type="http://schemas.openxmlformats.org/officeDocument/2006/relationships/comments" Target="../comments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vmlDrawing" Target="../drawings/vmlDrawing8.vml"/><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comments" Target="../comments9.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vmlDrawing" Target="../drawings/vmlDrawing9.vml"/><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4"/>
  <sheetViews>
    <sheetView showGridLines="0" tabSelected="1" zoomScaleNormal="100" zoomScaleSheetLayoutView="100" workbookViewId="0">
      <selection activeCell="G2" sqref="G2:J2"/>
    </sheetView>
  </sheetViews>
  <sheetFormatPr defaultColWidth="8.85546875" defaultRowHeight="11.25"/>
  <cols>
    <col min="1" max="1" width="2.42578125" style="1" customWidth="1"/>
    <col min="2" max="3" width="2.28515625" style="1" customWidth="1"/>
    <col min="4" max="4" width="3.5703125" style="1" customWidth="1"/>
    <col min="5" max="5" width="15.140625" style="1" customWidth="1"/>
    <col min="6" max="6" width="21.42578125" style="1" customWidth="1"/>
    <col min="7" max="7" width="8.85546875" style="1" customWidth="1"/>
    <col min="8" max="8" width="11.7109375" style="1" customWidth="1"/>
    <col min="9" max="9" width="13" style="1" customWidth="1"/>
    <col min="10" max="10" width="17.85546875" style="11" customWidth="1"/>
    <col min="11" max="11" width="18.42578125" style="8" customWidth="1"/>
    <col min="12" max="12" width="16.7109375" style="1" customWidth="1"/>
    <col min="13" max="13" width="16.85546875" style="1" bestFit="1" customWidth="1"/>
    <col min="14" max="14" width="15.7109375" style="1" bestFit="1" customWidth="1"/>
    <col min="15" max="15" width="14.7109375" style="1" customWidth="1"/>
    <col min="16" max="16" width="9.7109375" style="1" customWidth="1"/>
    <col min="17" max="25" width="8.85546875" style="1" customWidth="1"/>
    <col min="26" max="26" width="50" style="1" hidden="1" customWidth="1"/>
    <col min="27" max="27" width="10.42578125" style="138" hidden="1" customWidth="1"/>
    <col min="28" max="28" width="8.85546875" style="1" customWidth="1"/>
    <col min="29" max="16384" width="8.85546875" style="1"/>
  </cols>
  <sheetData>
    <row r="1" spans="1:28" ht="16.5" customHeight="1">
      <c r="A1" s="49" t="s">
        <v>392</v>
      </c>
      <c r="G1" s="556" t="str">
        <f>IF(ISNA(VLOOKUP(G2,$Z$45:$AA$49,2,FALSE)),"",(VLOOKUP(G2,$Z$45:$AA$49,2,FALSE)))</f>
        <v/>
      </c>
      <c r="H1" s="557"/>
      <c r="I1" s="557"/>
      <c r="J1" s="558"/>
      <c r="S1" s="8"/>
    </row>
    <row r="2" spans="1:28" ht="18.75" customHeight="1">
      <c r="A2" s="49" t="s">
        <v>404</v>
      </c>
      <c r="E2" s="9"/>
      <c r="G2" s="559"/>
      <c r="H2" s="560"/>
      <c r="I2" s="560"/>
      <c r="J2" s="561"/>
      <c r="K2" s="10"/>
    </row>
    <row r="3" spans="1:28" ht="12.75">
      <c r="A3" s="49" t="s">
        <v>438</v>
      </c>
      <c r="E3" s="9"/>
      <c r="G3" s="559"/>
      <c r="H3" s="560"/>
      <c r="I3" s="560"/>
      <c r="J3" s="561"/>
      <c r="K3" s="10"/>
    </row>
    <row r="4" spans="1:28" ht="12.75">
      <c r="A4" s="49" t="s">
        <v>255</v>
      </c>
      <c r="E4" s="9"/>
      <c r="G4" s="562"/>
      <c r="H4" s="563"/>
      <c r="I4" s="563"/>
      <c r="J4" s="564"/>
      <c r="K4" s="10"/>
    </row>
    <row r="5" spans="1:28" ht="12">
      <c r="A5" s="49" t="s">
        <v>511</v>
      </c>
      <c r="E5" s="9"/>
      <c r="F5" s="464"/>
      <c r="G5" s="565"/>
      <c r="H5" s="566"/>
      <c r="I5" s="566"/>
      <c r="J5" s="567"/>
      <c r="K5" s="10"/>
    </row>
    <row r="6" spans="1:28" ht="12.75">
      <c r="A6" s="49" t="s">
        <v>35</v>
      </c>
      <c r="E6" s="9"/>
      <c r="G6" s="568"/>
      <c r="H6" s="569"/>
      <c r="I6" s="569"/>
      <c r="J6" s="570"/>
      <c r="K6" s="10"/>
    </row>
    <row r="7" spans="1:28" ht="8.25" customHeight="1">
      <c r="E7" s="9"/>
      <c r="G7" s="9"/>
      <c r="K7" s="10"/>
    </row>
    <row r="8" spans="1:28" ht="12" hidden="1" customHeight="1">
      <c r="E8" s="9"/>
      <c r="G8" s="9"/>
      <c r="K8" s="10"/>
    </row>
    <row r="9" spans="1:28" ht="12" customHeight="1">
      <c r="A9" s="107" t="s">
        <v>846</v>
      </c>
      <c r="E9" s="9"/>
      <c r="G9" s="9"/>
      <c r="K9" s="10"/>
    </row>
    <row r="10" spans="1:28" ht="12" customHeight="1">
      <c r="A10" s="551" t="str">
        <f>IF(ISNA(VLOOKUP($G$2,'Prior Year Amounts'!$E$309:$J$312,5,FALSE)),"",(VLOOKUP($G$2,'Prior Year Amounts'!$E$309:$J$312,5,FALSE)))</f>
        <v/>
      </c>
      <c r="B10" s="552"/>
      <c r="C10" s="552"/>
      <c r="D10" s="552"/>
      <c r="E10" s="552"/>
      <c r="F10" s="552"/>
      <c r="G10" s="552"/>
      <c r="H10" s="552"/>
      <c r="I10" s="552"/>
      <c r="J10" s="552"/>
      <c r="K10" s="10"/>
      <c r="Z10" s="12"/>
    </row>
    <row r="11" spans="1:28" ht="12" customHeight="1">
      <c r="A11" s="552"/>
      <c r="B11" s="552"/>
      <c r="C11" s="552"/>
      <c r="D11" s="552"/>
      <c r="E11" s="552"/>
      <c r="F11" s="552"/>
      <c r="G11" s="552"/>
      <c r="H11" s="552"/>
      <c r="I11" s="552"/>
      <c r="J11" s="552"/>
      <c r="K11" s="10"/>
      <c r="Z11" s="12"/>
      <c r="AA11" s="44"/>
    </row>
    <row r="12" spans="1:28" ht="12" customHeight="1">
      <c r="A12" s="552"/>
      <c r="B12" s="552"/>
      <c r="C12" s="552"/>
      <c r="D12" s="552"/>
      <c r="E12" s="552"/>
      <c r="F12" s="552"/>
      <c r="G12" s="552"/>
      <c r="H12" s="552"/>
      <c r="I12" s="552"/>
      <c r="J12" s="552"/>
      <c r="K12" s="10"/>
      <c r="Z12" s="12"/>
      <c r="AA12" s="44"/>
    </row>
    <row r="13" spans="1:28" ht="12" customHeight="1">
      <c r="A13" s="552"/>
      <c r="B13" s="552"/>
      <c r="C13" s="552"/>
      <c r="D13" s="552"/>
      <c r="E13" s="552"/>
      <c r="F13" s="552"/>
      <c r="G13" s="552"/>
      <c r="H13" s="552"/>
      <c r="I13" s="552"/>
      <c r="J13" s="552"/>
      <c r="K13" s="10"/>
      <c r="N13"/>
      <c r="Z13" s="12"/>
      <c r="AA13" s="44"/>
    </row>
    <row r="14" spans="1:28" ht="12" customHeight="1">
      <c r="A14" s="552"/>
      <c r="B14" s="552"/>
      <c r="C14" s="552"/>
      <c r="D14" s="552"/>
      <c r="E14" s="552"/>
      <c r="F14" s="552"/>
      <c r="G14" s="552"/>
      <c r="H14" s="552"/>
      <c r="I14" s="552"/>
      <c r="J14" s="552"/>
      <c r="K14" s="10"/>
      <c r="Z14" s="12"/>
      <c r="AA14" s="44"/>
      <c r="AB14" s="326"/>
    </row>
    <row r="15" spans="1:28" ht="12" customHeight="1">
      <c r="A15" s="552"/>
      <c r="B15" s="552"/>
      <c r="C15" s="552"/>
      <c r="D15" s="552"/>
      <c r="E15" s="552"/>
      <c r="F15" s="552"/>
      <c r="G15" s="552"/>
      <c r="H15" s="552"/>
      <c r="I15" s="552"/>
      <c r="J15" s="552"/>
      <c r="K15" s="10"/>
      <c r="N15"/>
      <c r="Z15" s="12"/>
      <c r="AA15" s="44"/>
      <c r="AB15" s="326"/>
    </row>
    <row r="16" spans="1:28" ht="12" customHeight="1">
      <c r="A16" s="552"/>
      <c r="B16" s="552"/>
      <c r="C16" s="552"/>
      <c r="D16" s="552"/>
      <c r="E16" s="552"/>
      <c r="F16" s="552"/>
      <c r="G16" s="552"/>
      <c r="H16" s="552"/>
      <c r="I16" s="552"/>
      <c r="J16" s="552"/>
      <c r="K16" s="10"/>
      <c r="Z16" s="12"/>
      <c r="AA16" s="44"/>
      <c r="AB16" s="326"/>
    </row>
    <row r="17" spans="1:29" ht="12" customHeight="1">
      <c r="A17" s="552"/>
      <c r="B17" s="552"/>
      <c r="C17" s="552"/>
      <c r="D17" s="552"/>
      <c r="E17" s="552"/>
      <c r="F17" s="552"/>
      <c r="G17" s="552"/>
      <c r="H17" s="552"/>
      <c r="I17" s="552"/>
      <c r="J17" s="552"/>
      <c r="K17" s="10"/>
      <c r="Z17" s="12"/>
      <c r="AA17" s="44"/>
      <c r="AB17" s="326"/>
    </row>
    <row r="18" spans="1:29" ht="12" customHeight="1">
      <c r="A18" s="552"/>
      <c r="B18" s="552"/>
      <c r="C18" s="552"/>
      <c r="D18" s="552"/>
      <c r="E18" s="552"/>
      <c r="F18" s="552"/>
      <c r="G18" s="552"/>
      <c r="H18" s="552"/>
      <c r="I18" s="552"/>
      <c r="J18" s="552"/>
      <c r="K18" s="10"/>
      <c r="Z18" s="12"/>
      <c r="AA18" s="44"/>
      <c r="AB18" s="326"/>
    </row>
    <row r="19" spans="1:29">
      <c r="A19" s="552"/>
      <c r="B19" s="552"/>
      <c r="C19" s="552"/>
      <c r="D19" s="552"/>
      <c r="E19" s="552"/>
      <c r="F19" s="552"/>
      <c r="G19" s="552"/>
      <c r="H19" s="552"/>
      <c r="I19" s="552"/>
      <c r="J19" s="552"/>
      <c r="K19" s="10"/>
      <c r="Z19" s="12"/>
      <c r="AA19" s="44"/>
      <c r="AB19" s="326"/>
    </row>
    <row r="20" spans="1:29" ht="12" customHeight="1">
      <c r="A20" s="552"/>
      <c r="B20" s="552"/>
      <c r="C20" s="552"/>
      <c r="D20" s="552"/>
      <c r="E20" s="552"/>
      <c r="F20" s="552"/>
      <c r="G20" s="552"/>
      <c r="H20" s="552"/>
      <c r="I20" s="552"/>
      <c r="J20" s="552"/>
      <c r="K20" s="10"/>
      <c r="Z20" s="12"/>
      <c r="AA20" s="44"/>
      <c r="AB20" s="326"/>
      <c r="AC20" s="327"/>
    </row>
    <row r="21" spans="1:29" ht="14.25" hidden="1" customHeight="1">
      <c r="A21" s="552"/>
      <c r="B21" s="552"/>
      <c r="C21" s="552"/>
      <c r="D21" s="552"/>
      <c r="E21" s="552"/>
      <c r="F21" s="552"/>
      <c r="G21" s="552"/>
      <c r="H21" s="552"/>
      <c r="I21" s="552"/>
      <c r="J21" s="552"/>
      <c r="K21" s="10"/>
      <c r="Z21" s="12"/>
      <c r="AA21" s="44"/>
      <c r="AB21" s="326"/>
      <c r="AC21" s="327"/>
    </row>
    <row r="22" spans="1:29" ht="12" hidden="1" customHeight="1">
      <c r="A22" s="552"/>
      <c r="B22" s="552"/>
      <c r="C22" s="552"/>
      <c r="D22" s="552"/>
      <c r="E22" s="552"/>
      <c r="F22" s="552"/>
      <c r="G22" s="552"/>
      <c r="H22" s="552"/>
      <c r="I22" s="552"/>
      <c r="J22" s="552"/>
      <c r="K22" s="10"/>
      <c r="Z22" s="12"/>
      <c r="AA22" s="44"/>
      <c r="AB22" s="326"/>
      <c r="AC22" s="327"/>
    </row>
    <row r="23" spans="1:29" ht="12" hidden="1" customHeight="1">
      <c r="A23" s="552"/>
      <c r="B23" s="552"/>
      <c r="C23" s="552"/>
      <c r="D23" s="552"/>
      <c r="E23" s="552"/>
      <c r="F23" s="552"/>
      <c r="G23" s="552"/>
      <c r="H23" s="552"/>
      <c r="I23" s="552"/>
      <c r="J23" s="552"/>
      <c r="K23" s="10"/>
      <c r="Z23" s="12"/>
      <c r="AA23" s="44"/>
      <c r="AB23" s="326"/>
      <c r="AC23" s="327"/>
    </row>
    <row r="24" spans="1:29" ht="12" hidden="1" customHeight="1">
      <c r="A24" s="552"/>
      <c r="B24" s="552"/>
      <c r="C24" s="552"/>
      <c r="D24" s="552"/>
      <c r="E24" s="552"/>
      <c r="F24" s="552"/>
      <c r="G24" s="552"/>
      <c r="H24" s="552"/>
      <c r="I24" s="552"/>
      <c r="J24" s="552"/>
      <c r="K24" s="10"/>
      <c r="Z24" s="12"/>
      <c r="AA24" s="44"/>
      <c r="AB24" s="326"/>
      <c r="AC24" s="327"/>
    </row>
    <row r="25" spans="1:29" ht="12" hidden="1" customHeight="1">
      <c r="A25" s="552"/>
      <c r="B25" s="552"/>
      <c r="C25" s="552"/>
      <c r="D25" s="552"/>
      <c r="E25" s="552"/>
      <c r="F25" s="552"/>
      <c r="G25" s="552"/>
      <c r="H25" s="552"/>
      <c r="I25" s="552"/>
      <c r="J25" s="552"/>
      <c r="K25" s="10"/>
      <c r="Z25" s="12"/>
      <c r="AA25" s="44"/>
      <c r="AB25" s="326"/>
      <c r="AC25" s="327"/>
    </row>
    <row r="26" spans="1:29" ht="12" hidden="1" customHeight="1">
      <c r="A26" s="552"/>
      <c r="B26" s="552"/>
      <c r="C26" s="552"/>
      <c r="D26" s="552"/>
      <c r="E26" s="552"/>
      <c r="F26" s="552"/>
      <c r="G26" s="552"/>
      <c r="H26" s="552"/>
      <c r="I26" s="552"/>
      <c r="J26" s="552"/>
      <c r="K26" s="10"/>
      <c r="Z26" s="12"/>
      <c r="AA26" s="44"/>
      <c r="AB26" s="326"/>
      <c r="AC26" s="327"/>
    </row>
    <row r="27" spans="1:29" ht="12" hidden="1" customHeight="1">
      <c r="A27" s="552"/>
      <c r="B27" s="552"/>
      <c r="C27" s="552"/>
      <c r="D27" s="552"/>
      <c r="E27" s="552"/>
      <c r="F27" s="552"/>
      <c r="G27" s="552"/>
      <c r="H27" s="552"/>
      <c r="I27" s="552"/>
      <c r="J27" s="552"/>
      <c r="K27" s="10"/>
      <c r="Z27" s="12"/>
      <c r="AA27" s="44"/>
      <c r="AB27" s="326"/>
      <c r="AC27" s="327"/>
    </row>
    <row r="28" spans="1:29" ht="12" hidden="1" customHeight="1">
      <c r="A28" s="552"/>
      <c r="B28" s="552"/>
      <c r="C28" s="552"/>
      <c r="D28" s="552"/>
      <c r="E28" s="552"/>
      <c r="F28" s="552"/>
      <c r="G28" s="552"/>
      <c r="H28" s="552"/>
      <c r="I28" s="552"/>
      <c r="J28" s="552"/>
      <c r="K28" s="10"/>
      <c r="Z28" s="12"/>
      <c r="AA28" s="44"/>
      <c r="AB28" s="326"/>
      <c r="AC28" s="327"/>
    </row>
    <row r="29" spans="1:29">
      <c r="A29" s="552"/>
      <c r="B29" s="552"/>
      <c r="C29" s="552"/>
      <c r="D29" s="552"/>
      <c r="E29" s="552"/>
      <c r="F29" s="552"/>
      <c r="G29" s="552"/>
      <c r="H29" s="552"/>
      <c r="I29" s="552"/>
      <c r="J29" s="552"/>
      <c r="K29" s="10"/>
      <c r="Z29" s="12"/>
      <c r="AA29" s="44"/>
      <c r="AB29" s="326"/>
      <c r="AC29" s="327"/>
    </row>
    <row r="30" spans="1:29">
      <c r="A30" s="552"/>
      <c r="B30" s="552"/>
      <c r="C30" s="552"/>
      <c r="D30" s="552"/>
      <c r="E30" s="552"/>
      <c r="F30" s="552"/>
      <c r="G30" s="552"/>
      <c r="H30" s="552"/>
      <c r="I30" s="552"/>
      <c r="J30" s="552"/>
      <c r="K30" s="10"/>
      <c r="Z30" s="12"/>
      <c r="AA30" s="44"/>
      <c r="AB30" s="326"/>
      <c r="AC30" s="327"/>
    </row>
    <row r="31" spans="1:29">
      <c r="A31" s="552"/>
      <c r="B31" s="552"/>
      <c r="C31" s="552"/>
      <c r="D31" s="552"/>
      <c r="E31" s="552"/>
      <c r="F31" s="552"/>
      <c r="G31" s="552"/>
      <c r="H31" s="552"/>
      <c r="I31" s="552"/>
      <c r="J31" s="552"/>
      <c r="K31" s="10"/>
      <c r="Z31" s="12"/>
      <c r="AA31" s="44"/>
      <c r="AB31" s="326"/>
      <c r="AC31" s="327"/>
    </row>
    <row r="32" spans="1:29" ht="7.5" customHeight="1">
      <c r="A32" s="552"/>
      <c r="B32" s="552"/>
      <c r="C32" s="552"/>
      <c r="D32" s="552"/>
      <c r="E32" s="552"/>
      <c r="F32" s="552"/>
      <c r="G32" s="552"/>
      <c r="H32" s="552"/>
      <c r="I32" s="552"/>
      <c r="J32" s="552"/>
      <c r="K32" s="10"/>
      <c r="Z32" s="12"/>
      <c r="AA32" s="44"/>
      <c r="AB32" s="326"/>
      <c r="AC32" s="327"/>
    </row>
    <row r="33" spans="1:29" ht="12.75" customHeight="1">
      <c r="A33" s="474"/>
      <c r="B33" s="283"/>
      <c r="C33" s="283"/>
      <c r="D33" s="283"/>
      <c r="E33" s="475"/>
      <c r="F33" s="283"/>
      <c r="G33" s="475"/>
      <c r="H33" s="283"/>
      <c r="I33" s="283"/>
      <c r="J33" s="476"/>
      <c r="K33" s="10"/>
      <c r="Z33" s="12"/>
      <c r="AA33" s="44"/>
      <c r="AB33" s="326"/>
      <c r="AC33" s="327"/>
    </row>
    <row r="34" spans="1:29" ht="21" customHeight="1">
      <c r="A34" s="48" t="s">
        <v>539</v>
      </c>
      <c r="O34" s="571" t="s">
        <v>608</v>
      </c>
      <c r="Z34" s="12"/>
      <c r="AA34" s="44"/>
      <c r="AB34" s="328"/>
      <c r="AC34" s="327"/>
    </row>
    <row r="35" spans="1:29" ht="15.75" customHeight="1">
      <c r="A35" s="48" t="s">
        <v>917</v>
      </c>
      <c r="J35" s="1"/>
      <c r="K35" s="28"/>
      <c r="O35" s="572"/>
      <c r="Z35" s="12"/>
      <c r="AA35" s="44"/>
      <c r="AB35" s="328"/>
      <c r="AC35" s="327"/>
    </row>
    <row r="36" spans="1:29" ht="11.25" customHeight="1">
      <c r="J36" s="44" t="s">
        <v>377</v>
      </c>
      <c r="K36" s="45"/>
      <c r="O36" s="572"/>
      <c r="Z36" s="12"/>
      <c r="AA36" s="44"/>
      <c r="AB36" s="328"/>
      <c r="AC36" s="327"/>
    </row>
    <row r="37" spans="1:29" ht="12.75" customHeight="1" thickBot="1">
      <c r="A37" s="294"/>
      <c r="B37" s="105"/>
      <c r="C37" s="105"/>
      <c r="D37" s="105"/>
      <c r="E37" s="105"/>
      <c r="F37" s="105"/>
      <c r="G37" s="554" t="s">
        <v>215</v>
      </c>
      <c r="H37" s="554"/>
      <c r="I37" s="555"/>
      <c r="J37" s="315" t="s">
        <v>463</v>
      </c>
      <c r="K37" s="46" t="s">
        <v>176</v>
      </c>
      <c r="L37" s="46" t="s">
        <v>37</v>
      </c>
      <c r="M37" s="46" t="s">
        <v>454</v>
      </c>
      <c r="N37" s="46" t="s">
        <v>455</v>
      </c>
      <c r="O37" s="573"/>
      <c r="Z37" s="12"/>
      <c r="AA37" s="44"/>
    </row>
    <row r="38" spans="1:29" ht="12" customHeight="1">
      <c r="A38" s="49"/>
      <c r="B38" s="50"/>
      <c r="C38" s="50"/>
      <c r="D38" s="50"/>
      <c r="E38" s="50"/>
    </row>
    <row r="39" spans="1:29" ht="12" customHeight="1">
      <c r="A39" s="49" t="s">
        <v>193</v>
      </c>
      <c r="B39" s="50"/>
      <c r="C39" s="50"/>
      <c r="D39" s="50"/>
      <c r="E39" s="50"/>
    </row>
    <row r="40" spans="1:29" ht="12.75" customHeight="1">
      <c r="A40" s="50" t="s">
        <v>643</v>
      </c>
      <c r="B40" s="50"/>
      <c r="C40" s="50"/>
      <c r="D40" s="50"/>
      <c r="E40" s="50"/>
      <c r="J40" s="58" t="s">
        <v>250</v>
      </c>
      <c r="K40" s="15"/>
      <c r="L40" s="8" t="str">
        <f>IF(ISNA(HLOOKUP($G$2,'Prior Year Amounts'!$K$32:$AK$245,3,FALSE)),"",(HLOOKUP($G$2,'Prior Year Amounts'!$K$32:$AK$245,3,FALSE)))</f>
        <v/>
      </c>
      <c r="M40" s="8" t="str">
        <f>IF(ISERR(K40-L40),"",(K40-L40))</f>
        <v/>
      </c>
      <c r="N40" s="108" t="str">
        <f>IF(ISERR(IF(M40=0,0,IF((AND(L40=0,K40&gt;0)),1,IF((AND(L40=0,K40&lt;0)),-1,M40/ABS(L40))))),"",(IF(M40=0,0,IF((AND(L40=0,K40&gt;0)),1,IF((AND(L40=0,K40&lt;0)),-1,M40/ABS(L40))))))</f>
        <v/>
      </c>
      <c r="O40" s="108" t="str">
        <f>IF(L40="","",IF(OR((ABS(M40)&gt;19800000),AND(ABS(M40)&gt;9900000,ABS(N40)&gt;0.1)),"YES","-"))</f>
        <v/>
      </c>
      <c r="Z40" s="12"/>
      <c r="AA40" s="44"/>
    </row>
    <row r="41" spans="1:29" ht="12">
      <c r="A41" s="50" t="s">
        <v>407</v>
      </c>
      <c r="B41" s="50"/>
      <c r="C41" s="50"/>
      <c r="D41" s="50"/>
      <c r="E41" s="50"/>
      <c r="J41" s="58" t="s">
        <v>251</v>
      </c>
      <c r="K41" s="15"/>
      <c r="L41" s="8" t="str">
        <f>IF(ISNA(HLOOKUP($G$2,'Prior Year Amounts'!$K$32:$AK$245,4,FALSE)),"",(HLOOKUP($G$2,'Prior Year Amounts'!$K$32:$AK$245,4,FALSE)))</f>
        <v/>
      </c>
      <c r="M41" s="8" t="str">
        <f>IF(ISERR(K41-L41),"",(K41-L41))</f>
        <v/>
      </c>
      <c r="N41" s="108" t="str">
        <f>IF(ISERR(IF(M41=0,0,IF((AND(L41=0,K41&gt;0)),1,IF((AND(L41=0,K41&lt;0)),-1,M41/ABS(L41))))),"",(IF(M41=0,0,IF((AND(L41=0,K41&gt;0)),1,IF((AND(L41=0,K41&lt;0)),-1,M41/ABS(L41))))))</f>
        <v/>
      </c>
      <c r="O41" s="108" t="str">
        <f t="shared" ref="O41:O43" si="0">IF(L41="","",IF(OR((ABS(M41)&gt;19800000),AND(ABS(M41)&gt;9900000,ABS(N41)&gt;0.1)),"YES","-"))</f>
        <v/>
      </c>
      <c r="Z41" s="12"/>
      <c r="AA41" s="44"/>
    </row>
    <row r="42" spans="1:29" ht="12">
      <c r="A42" s="50" t="s">
        <v>410</v>
      </c>
      <c r="B42" s="50"/>
      <c r="C42" s="50"/>
      <c r="D42" s="50"/>
      <c r="E42" s="50"/>
      <c r="J42" s="57"/>
      <c r="K42" s="15"/>
      <c r="L42" s="8" t="str">
        <f>IF(ISNA(HLOOKUP($G$2,'Prior Year Amounts'!$K$32:$AK$245,5,FALSE)),"",(HLOOKUP($G$2,'Prior Year Amounts'!$K$32:$AK$245,5,FALSE)))</f>
        <v/>
      </c>
      <c r="M42" s="8" t="str">
        <f t="shared" ref="M42:M47" si="1">IF(ISERR(K42-L42),"",(K42-L42))</f>
        <v/>
      </c>
      <c r="N42" s="108" t="str">
        <f t="shared" ref="N42:N48" si="2">IF(ISERR(IF(M42=0,0,IF((AND(L42=0,K42&gt;0)),1,IF((AND(L42=0,K42&lt;0)),-1,M42/ABS(L42))))),"",(IF(M42=0,0,IF((AND(L42=0,K42&gt;0)),1,IF((AND(L42=0,K42&lt;0)),-1,M42/ABS(L42))))))</f>
        <v/>
      </c>
      <c r="O42" s="108" t="str">
        <f t="shared" si="0"/>
        <v/>
      </c>
    </row>
    <row r="43" spans="1:29" ht="12">
      <c r="A43" s="50" t="s">
        <v>515</v>
      </c>
      <c r="B43" s="50"/>
      <c r="C43" s="50"/>
      <c r="D43" s="50"/>
      <c r="E43" s="50"/>
      <c r="J43" s="58" t="s">
        <v>364</v>
      </c>
      <c r="K43" s="15"/>
      <c r="L43" s="8" t="str">
        <f>IF(ISNA(HLOOKUP($G$2,'Prior Year Amounts'!$K$32:$AK$245,6,FALSE)),"",(HLOOKUP($G$2,'Prior Year Amounts'!$K$32:$AK$245,6,FALSE)))</f>
        <v/>
      </c>
      <c r="M43" s="8" t="str">
        <f t="shared" si="1"/>
        <v/>
      </c>
      <c r="N43" s="108" t="str">
        <f t="shared" si="2"/>
        <v/>
      </c>
      <c r="O43" s="108" t="str">
        <f t="shared" si="0"/>
        <v/>
      </c>
      <c r="Z43" s="12"/>
      <c r="AA43" s="44"/>
    </row>
    <row r="44" spans="1:29" ht="12" hidden="1">
      <c r="A44" s="50" t="s">
        <v>516</v>
      </c>
      <c r="B44" s="50"/>
      <c r="C44" s="50"/>
      <c r="D44" s="50"/>
      <c r="E44" s="50"/>
      <c r="J44" s="58" t="s">
        <v>363</v>
      </c>
      <c r="K44" s="15"/>
      <c r="L44" s="8" t="str">
        <f>IF(ISNA(HLOOKUP($G$2,'Prior Year Amounts'!$K$32:$AK$245,7,FALSE)),"",(HLOOKUP($G$2,'Prior Year Amounts'!$K$32:$AK$245,7,FALSE)))</f>
        <v/>
      </c>
      <c r="M44" s="8" t="str">
        <f t="shared" si="1"/>
        <v/>
      </c>
      <c r="N44" s="108" t="str">
        <f t="shared" si="2"/>
        <v/>
      </c>
      <c r="O44" s="108" t="str">
        <f t="shared" ref="O44:O45" si="3">IF(L44="","",IF(OR((ABS(M44)&gt;20400000),AND(ABS(M44)&gt;10200000,ABS(N44)&gt;0.1)),"YES","-"))</f>
        <v/>
      </c>
      <c r="Z44" s="12" t="s">
        <v>577</v>
      </c>
      <c r="AA44" s="44"/>
    </row>
    <row r="45" spans="1:29" ht="12" hidden="1">
      <c r="A45" s="50" t="s">
        <v>517</v>
      </c>
      <c r="B45" s="50"/>
      <c r="C45" s="50"/>
      <c r="D45" s="50"/>
      <c r="E45" s="50"/>
      <c r="J45" s="58" t="s">
        <v>649</v>
      </c>
      <c r="K45" s="15"/>
      <c r="L45" s="8" t="str">
        <f>IF(ISNA(HLOOKUP($G$2,'Prior Year Amounts'!$K$32:$AK$245,8,FALSE)),"",(HLOOKUP($G$2,'Prior Year Amounts'!$K$32:$AK$245,8,FALSE)))</f>
        <v/>
      </c>
      <c r="M45" s="8" t="str">
        <f t="shared" si="1"/>
        <v/>
      </c>
      <c r="N45" s="108" t="str">
        <f t="shared" si="2"/>
        <v/>
      </c>
      <c r="O45" s="108" t="str">
        <f t="shared" si="3"/>
        <v/>
      </c>
      <c r="Z45" s="12" t="s">
        <v>52</v>
      </c>
      <c r="AA45" s="44">
        <v>1008</v>
      </c>
    </row>
    <row r="46" spans="1:29" ht="12">
      <c r="A46" s="50" t="s">
        <v>601</v>
      </c>
      <c r="B46" s="50"/>
      <c r="C46" s="50"/>
      <c r="D46" s="50"/>
      <c r="E46" s="50"/>
      <c r="J46" s="58" t="s">
        <v>216</v>
      </c>
      <c r="K46" s="15"/>
      <c r="L46" s="8" t="str">
        <f>IF(ISNA(HLOOKUP($G$2,'Prior Year Amounts'!$K$32:$AK$245,9,FALSE)),"",(HLOOKUP($G$2,'Prior Year Amounts'!$K$32:$AK$245,9,FALSE)))</f>
        <v/>
      </c>
      <c r="M46" s="8" t="str">
        <f t="shared" si="1"/>
        <v/>
      </c>
      <c r="N46" s="108" t="str">
        <f t="shared" si="2"/>
        <v/>
      </c>
      <c r="O46" s="108" t="str">
        <f>IF(L46="","",IF(OR((ABS(M46)&gt;19800000),AND(ABS(M46)&gt;9900000,ABS(N46)&gt;0.1)),"YES","-"))</f>
        <v/>
      </c>
      <c r="Z46" s="12" t="s">
        <v>53</v>
      </c>
      <c r="AA46" s="44">
        <v>1009</v>
      </c>
    </row>
    <row r="47" spans="1:29" ht="12">
      <c r="A47" s="50" t="s">
        <v>602</v>
      </c>
      <c r="B47" s="50"/>
      <c r="C47" s="50"/>
      <c r="D47" s="50"/>
      <c r="E47" s="50"/>
      <c r="J47" s="58" t="s">
        <v>793</v>
      </c>
      <c r="K47" s="47"/>
      <c r="L47" s="8" t="str">
        <f>IF(ISNA(HLOOKUP($G$2,'Prior Year Amounts'!$K$32:$AK$245,10,FALSE)),"",(HLOOKUP($G$2,'Prior Year Amounts'!$K$32:$AK$245,10,FALSE)))</f>
        <v/>
      </c>
      <c r="M47" s="8" t="str">
        <f t="shared" si="1"/>
        <v/>
      </c>
      <c r="N47" s="108" t="str">
        <f t="shared" si="2"/>
        <v/>
      </c>
      <c r="O47" s="108" t="str">
        <f>IF(L47="","",IF(OR((ABS(M47)&gt;19800000),AND(ABS(M47)&gt;9900000,ABS(N47)&gt;0.1)),"YES","-"))</f>
        <v/>
      </c>
      <c r="Z47" s="12" t="s">
        <v>33</v>
      </c>
      <c r="AA47" s="44">
        <v>1011</v>
      </c>
    </row>
    <row r="48" spans="1:29" ht="12">
      <c r="A48" s="50"/>
      <c r="B48" s="51" t="s">
        <v>488</v>
      </c>
      <c r="C48" s="50"/>
      <c r="D48" s="50"/>
      <c r="E48" s="50"/>
      <c r="J48" s="58"/>
      <c r="K48" s="13">
        <f>SUM(K40:K47)</f>
        <v>0</v>
      </c>
      <c r="L48" s="13">
        <f>SUM(L40:L47)</f>
        <v>0</v>
      </c>
      <c r="M48" s="13">
        <f>K48-L48</f>
        <v>0</v>
      </c>
      <c r="N48" s="133">
        <f t="shared" si="2"/>
        <v>0</v>
      </c>
      <c r="O48" s="108"/>
      <c r="Z48" s="12" t="s">
        <v>529</v>
      </c>
      <c r="AA48" s="44">
        <v>1014</v>
      </c>
    </row>
    <row r="49" spans="1:27" ht="12">
      <c r="A49" s="50"/>
      <c r="B49" s="50"/>
      <c r="C49" s="50"/>
      <c r="D49" s="50"/>
      <c r="E49" s="50"/>
      <c r="J49" s="57"/>
      <c r="L49" s="8"/>
      <c r="M49" s="8"/>
      <c r="N49" s="108"/>
      <c r="O49" s="108"/>
      <c r="Z49" s="12"/>
      <c r="AA49" s="44"/>
    </row>
    <row r="50" spans="1:27" ht="12" hidden="1">
      <c r="A50" s="51"/>
      <c r="B50" s="50"/>
      <c r="C50" s="50"/>
      <c r="D50" s="50"/>
      <c r="E50" s="50"/>
      <c r="J50" s="57"/>
      <c r="L50" s="8"/>
      <c r="M50" s="8">
        <f>K50-L50</f>
        <v>0</v>
      </c>
      <c r="N50" s="108" t="str">
        <f>IF(M50=0,"0%",M50/ABS(L50))</f>
        <v>0%</v>
      </c>
      <c r="O50" s="108"/>
    </row>
    <row r="51" spans="1:27" ht="12" hidden="1">
      <c r="A51" s="335" t="s">
        <v>520</v>
      </c>
      <c r="B51" s="50"/>
      <c r="C51" s="50"/>
      <c r="D51" s="50"/>
      <c r="E51" s="50"/>
      <c r="J51" s="58" t="s">
        <v>649</v>
      </c>
      <c r="K51" s="15"/>
      <c r="L51" s="8" t="str">
        <f>IF(ISNA(HLOOKUP($G$2,'Prior Year Amounts'!$K$32:$AK$245,14,FALSE)),"",(HLOOKUP($G$2,'Prior Year Amounts'!$K$32:$AK$245,14,FALSE)))</f>
        <v/>
      </c>
      <c r="M51" s="8" t="str">
        <f>IF(ISERR(K51-L51),"",(K51-L51))</f>
        <v/>
      </c>
      <c r="N51" s="108" t="str">
        <f t="shared" ref="N51:N56" si="4">IF(ISERR(IF(M51=0,0,IF((AND(L51=0,K51&gt;0)),1,IF((AND(L51=0,K51&lt;0)),-1,M51/ABS(L51))))),"",(IF(M51=0,0,IF((AND(L51=0,K51&gt;0)),1,IF((AND(L51=0,K51&lt;0)),-1,M51/ABS(L51))))))</f>
        <v/>
      </c>
      <c r="O51" s="108" t="str">
        <f>IF(ISERR(IF(OR((ABS(M51)&gt;17000000),AND(ABS(M51)&gt;8500000,ABS(N51)&gt;0.1),AND(ABS(K51)=0,ABS(L51)&gt;0),AND(ABS(K51)&gt;0,ABS(L51)=0)),"YES","-")),"",(IF(OR((ABS(M51)&gt;17000000),AND(ABS(M51)&gt;8500000,ABS(N51)&gt;0.1),AND(ABS(K51)=0,ABS(L51)&gt;0),AND(ABS(K51)&gt;0,ABS(L51)=0)),"YES","-")))</f>
        <v/>
      </c>
    </row>
    <row r="52" spans="1:27" ht="12">
      <c r="A52" s="50" t="s">
        <v>489</v>
      </c>
      <c r="B52" s="50"/>
      <c r="C52" s="50"/>
      <c r="D52" s="50"/>
      <c r="E52" s="50"/>
      <c r="J52" s="57"/>
      <c r="K52" s="15"/>
      <c r="L52" s="8" t="str">
        <f>IF(ISNA(HLOOKUP($G$2,'Prior Year Amounts'!$K$32:$AK$245,15,FALSE)),"",(HLOOKUP($G$2,'Prior Year Amounts'!$K$32:$AK$245,15,FALSE)))</f>
        <v/>
      </c>
      <c r="M52" s="8" t="str">
        <f>IF(ISERR(K52-L52),"",(K52-L52))</f>
        <v/>
      </c>
      <c r="N52" s="108" t="str">
        <f t="shared" si="4"/>
        <v/>
      </c>
      <c r="O52" s="108" t="str">
        <f>IF(L52="","",IF(OR((ABS(M52)&gt;19800000),AND(ABS(M52)&gt;9900000,ABS(N52)&gt;0.1)),"YES","-"))</f>
        <v/>
      </c>
      <c r="Z52" s="12"/>
      <c r="AA52" s="44"/>
    </row>
    <row r="53" spans="1:27" ht="12" hidden="1">
      <c r="A53" s="50" t="s">
        <v>521</v>
      </c>
      <c r="B53" s="50"/>
      <c r="C53" s="50"/>
      <c r="D53" s="50"/>
      <c r="E53" s="50"/>
      <c r="J53" s="58" t="s">
        <v>365</v>
      </c>
      <c r="K53" s="15"/>
      <c r="L53" s="8" t="str">
        <f>IF(ISNA(HLOOKUP($G$2,'Prior Year Amounts'!$K$32:$AK$245,16,FALSE)),"",(HLOOKUP($G$2,'Prior Year Amounts'!$K$32:$AK$245,16,FALSE)))</f>
        <v/>
      </c>
      <c r="M53" s="8" t="str">
        <f>IF(ISERR(K53-L53),"",(K53-L53))</f>
        <v/>
      </c>
      <c r="N53" s="108" t="str">
        <f t="shared" si="4"/>
        <v/>
      </c>
      <c r="O53" s="108" t="str">
        <f t="shared" ref="O53" si="5">IF(L53="","",IF(OR((ABS(M53)&gt;20400000),AND(ABS(M53)&gt;10200000,ABS(N53)&gt;0.1)),"YES","-"))</f>
        <v/>
      </c>
    </row>
    <row r="54" spans="1:27" ht="12">
      <c r="A54" s="50" t="s">
        <v>799</v>
      </c>
      <c r="B54" s="50"/>
      <c r="C54" s="50"/>
      <c r="D54" s="50"/>
      <c r="E54" s="50"/>
      <c r="J54" s="58" t="s">
        <v>650</v>
      </c>
      <c r="K54" s="15"/>
      <c r="L54" s="8" t="str">
        <f>IF(ISNA(HLOOKUP($G$2,'Prior Year Amounts'!$K$32:$AK$245,17,FALSE)),"",(HLOOKUP($G$2,'Prior Year Amounts'!$K$32:$AK$245,17,FALSE)))</f>
        <v/>
      </c>
      <c r="M54" s="8" t="str">
        <f>IF(ISERR(K54-L54),"",(K54-L54))</f>
        <v/>
      </c>
      <c r="N54" s="108" t="str">
        <f t="shared" si="4"/>
        <v/>
      </c>
      <c r="O54" s="108" t="str">
        <f>IF(L54="","",IF(OR((ABS(M54)&gt;19800000),AND(ABS(M54)&gt;9900000,ABS(N54)&gt;0.1)),"YES","-"))</f>
        <v/>
      </c>
    </row>
    <row r="55" spans="1:27" ht="12">
      <c r="A55" s="50" t="s">
        <v>600</v>
      </c>
      <c r="B55" s="50"/>
      <c r="C55" s="50"/>
      <c r="D55" s="50"/>
      <c r="E55" s="50"/>
      <c r="J55" s="58" t="s">
        <v>793</v>
      </c>
      <c r="K55" s="47"/>
      <c r="L55" s="8" t="str">
        <f>IF(ISNA(HLOOKUP($G$2,'Prior Year Amounts'!$K$32:$AK$245,18,FALSE)),"",(HLOOKUP($G$2,'Prior Year Amounts'!$K$32:$AK$245,18,FALSE)))</f>
        <v/>
      </c>
      <c r="M55" s="8" t="str">
        <f>IF(ISERR(K55-L55),"",(K55-L55))</f>
        <v/>
      </c>
      <c r="N55" s="108" t="str">
        <f t="shared" si="4"/>
        <v/>
      </c>
      <c r="O55" s="108" t="str">
        <f>IF(L55="","",IF(OR((ABS(M55)&gt;19800000),AND(ABS(M55)&gt;9900000,ABS(N55)&gt;0.1)),"YES","-"))</f>
        <v/>
      </c>
    </row>
    <row r="56" spans="1:27" ht="12">
      <c r="A56" s="50"/>
      <c r="B56" s="51" t="s">
        <v>490</v>
      </c>
      <c r="C56" s="50"/>
      <c r="D56" s="50"/>
      <c r="E56" s="50"/>
      <c r="J56" s="58"/>
      <c r="K56" s="13">
        <f>SUM(K51:K55)</f>
        <v>0</v>
      </c>
      <c r="L56" s="13">
        <f>SUM(L51:L55)</f>
        <v>0</v>
      </c>
      <c r="M56" s="13">
        <f>K56-L56</f>
        <v>0</v>
      </c>
      <c r="N56" s="133">
        <f t="shared" si="4"/>
        <v>0</v>
      </c>
      <c r="O56" s="108"/>
    </row>
    <row r="57" spans="1:27" ht="12">
      <c r="A57" s="50"/>
      <c r="B57" s="50"/>
      <c r="C57" s="50"/>
      <c r="D57" s="50"/>
      <c r="E57" s="50"/>
      <c r="J57" s="57"/>
      <c r="L57" s="8"/>
      <c r="M57" s="8"/>
      <c r="N57" s="108"/>
      <c r="O57" s="108"/>
    </row>
    <row r="58" spans="1:27" ht="12">
      <c r="A58" s="50" t="s">
        <v>550</v>
      </c>
      <c r="B58" s="50"/>
      <c r="C58" s="50"/>
      <c r="D58" s="50"/>
      <c r="E58" s="50"/>
      <c r="J58" s="58" t="s">
        <v>222</v>
      </c>
      <c r="K58" s="15"/>
      <c r="L58" s="8" t="str">
        <f>IF(ISNA(HLOOKUP($G$2,'Prior Year Amounts'!$K$32:$AK$245,21,FALSE)),"",(HLOOKUP($G$2,'Prior Year Amounts'!$K$32:$AK$245,21,FALSE)))</f>
        <v/>
      </c>
      <c r="M58" s="8" t="str">
        <f>IF(ISERR(K58-L58),"",(K58-L58))</f>
        <v/>
      </c>
      <c r="N58" s="108" t="str">
        <f t="shared" ref="N58:N63" si="6">IF(ISERR(IF(M58=0,0,IF((AND(L58=0,K58&gt;0)),1,IF((AND(L58=0,K58&lt;0)),-1,M58/ABS(L58))))),"",(IF(M58=0,0,IF((AND(L58=0,K58&gt;0)),1,IF((AND(L58=0,K58&lt;0)),-1,M58/ABS(L58))))))</f>
        <v/>
      </c>
      <c r="O58" s="108" t="str">
        <f>IF(L58="","",IF(OR((ABS(M58)&gt;19800000),AND(ABS(M58)&gt;9900000,ABS(N58)&gt;0.1)),"YES","-"))</f>
        <v/>
      </c>
    </row>
    <row r="59" spans="1:27" ht="12">
      <c r="A59" s="50" t="s">
        <v>798</v>
      </c>
      <c r="B59" s="50"/>
      <c r="C59" s="50"/>
      <c r="D59" s="50"/>
      <c r="E59" s="50"/>
      <c r="J59" s="58" t="s">
        <v>222</v>
      </c>
      <c r="K59" s="15"/>
      <c r="L59" s="8" t="str">
        <f>IF(ISNA(HLOOKUP($G$2,'Prior Year Amounts'!$K$32:$AK$245,22,FALSE)),"",(HLOOKUP($G$2,'Prior Year Amounts'!$K$32:$AK$245,22,FALSE)))</f>
        <v/>
      </c>
      <c r="M59" s="8" t="str">
        <f>IF(ISERR(K59-L59),"",(K59-L59))</f>
        <v/>
      </c>
      <c r="N59" s="108" t="str">
        <f t="shared" si="6"/>
        <v/>
      </c>
      <c r="O59" s="108" t="str">
        <f>IF(L59="","",IF(OR((ABS(M59)&gt;19800000),AND(ABS(M59)&gt;9900000,ABS(N59)&gt;0.1)),"YES","-"))</f>
        <v/>
      </c>
    </row>
    <row r="60" spans="1:27" ht="12">
      <c r="A60" s="50" t="s">
        <v>200</v>
      </c>
      <c r="B60" s="50"/>
      <c r="C60" s="50"/>
      <c r="D60" s="50"/>
      <c r="E60" s="50"/>
      <c r="J60" s="58" t="s">
        <v>222</v>
      </c>
      <c r="K60" s="15"/>
      <c r="L60" s="8" t="str">
        <f>IF(ISNA(HLOOKUP($G$2,'Prior Year Amounts'!$K$32:$AK$245,23,FALSE)),"",(HLOOKUP($G$2,'Prior Year Amounts'!$K$32:$AK$245,23,FALSE)))</f>
        <v/>
      </c>
      <c r="M60" s="8" t="str">
        <f>IF(ISERR(K60-L60),"",(K60-L60))</f>
        <v/>
      </c>
      <c r="N60" s="108" t="str">
        <f t="shared" si="6"/>
        <v/>
      </c>
      <c r="O60" s="108" t="str">
        <f>IF(L60="","",IF(OR((ABS(M60)&gt;19800000),AND(ABS(M60)&gt;9900000,ABS(N60)&gt;0.1)),"YES","-"))</f>
        <v/>
      </c>
    </row>
    <row r="61" spans="1:27" ht="12">
      <c r="A61" s="50" t="s">
        <v>524</v>
      </c>
      <c r="B61" s="50"/>
      <c r="C61" s="50"/>
      <c r="D61" s="50"/>
      <c r="E61" s="50"/>
      <c r="J61" s="58" t="s">
        <v>222</v>
      </c>
      <c r="K61" s="47"/>
      <c r="L61" s="8" t="str">
        <f>IF(ISNA(HLOOKUP($G$2,'Prior Year Amounts'!$K$32:$AK$245,24,FALSE)),"",(HLOOKUP($G$2,'Prior Year Amounts'!$K$32:$AK$245,24,FALSE)))</f>
        <v/>
      </c>
      <c r="M61" s="8" t="str">
        <f>IF(ISERR(K61-L61),"",(K61-L61))</f>
        <v/>
      </c>
      <c r="N61" s="108" t="str">
        <f t="shared" si="6"/>
        <v/>
      </c>
      <c r="O61" s="108" t="str">
        <f>IF(L61="","",IF(OR((ABS(M61)&gt;19800000),AND(ABS(M61)&gt;9900000,ABS(N61)&gt;0.1)),"YES","-"))</f>
        <v/>
      </c>
    </row>
    <row r="62" spans="1:27" ht="12">
      <c r="A62" s="50" t="s">
        <v>684</v>
      </c>
      <c r="B62" s="50"/>
      <c r="C62" s="50"/>
      <c r="D62" s="50"/>
      <c r="E62" s="50"/>
      <c r="F62" s="150"/>
      <c r="G62" s="548" t="str">
        <f>IF(K62&lt;&gt;0,"Answer Required","N/A")</f>
        <v>N/A</v>
      </c>
      <c r="H62" s="549" t="str">
        <f>IF(J62&lt;&gt;0,"Answer Required","N/A")</f>
        <v>Answer Required</v>
      </c>
      <c r="I62" s="550" t="str">
        <f>IF(K62&lt;&gt;0,"Answer Required","N/A")</f>
        <v>N/A</v>
      </c>
      <c r="J62" s="58" t="s">
        <v>222</v>
      </c>
      <c r="K62" s="47"/>
      <c r="L62" s="8" t="str">
        <f>IF(ISNA(HLOOKUP($G$2,'Prior Year Amounts'!$K$32:$AK$245,25,FALSE)),"",(HLOOKUP($G$2,'Prior Year Amounts'!$K$32:$AK$245,25,FALSE)))</f>
        <v/>
      </c>
      <c r="M62" s="8" t="str">
        <f>IF(ISERR(K62-L62),"",(K62-L62))</f>
        <v/>
      </c>
      <c r="N62" s="108" t="str">
        <f t="shared" si="6"/>
        <v/>
      </c>
      <c r="O62" s="108" t="str">
        <f>IF(L62="","",IF(OR((ABS(M62)&gt;19800000),AND(ABS(M62)&gt;9900000,ABS(N62)&gt;0.1)),"YES","-"))</f>
        <v/>
      </c>
    </row>
    <row r="63" spans="1:27" ht="12">
      <c r="A63" s="50"/>
      <c r="B63" s="51" t="s">
        <v>382</v>
      </c>
      <c r="C63" s="50"/>
      <c r="D63" s="50"/>
      <c r="E63" s="50"/>
      <c r="J63" s="57"/>
      <c r="K63" s="13">
        <f>SUM(K58:K62)</f>
        <v>0</v>
      </c>
      <c r="L63" s="13">
        <f>SUM(L58:L62)</f>
        <v>0</v>
      </c>
      <c r="M63" s="13">
        <f>K63-L63</f>
        <v>0</v>
      </c>
      <c r="N63" s="133">
        <f t="shared" si="6"/>
        <v>0</v>
      </c>
      <c r="O63" s="108"/>
    </row>
    <row r="64" spans="1:27" ht="12">
      <c r="A64" s="50"/>
      <c r="B64" s="50"/>
      <c r="C64" s="50"/>
      <c r="D64" s="50"/>
      <c r="E64" s="50"/>
      <c r="J64" s="57"/>
      <c r="L64" s="8"/>
      <c r="M64" s="8"/>
      <c r="N64" s="108"/>
      <c r="O64" s="108"/>
    </row>
    <row r="65" spans="1:15" ht="12.75">
      <c r="A65" s="52" t="s">
        <v>831</v>
      </c>
      <c r="B65" s="50"/>
      <c r="C65" s="50"/>
      <c r="D65" s="50"/>
      <c r="E65"/>
      <c r="F65" s="150"/>
      <c r="G65" s="548" t="str">
        <f>IF(K65&lt;&gt;0,"Answer Required","N/A")</f>
        <v>N/A</v>
      </c>
      <c r="H65" s="549" t="str">
        <f>IF(J65&lt;&gt;0,"Answer Required","N/A")</f>
        <v>Answer Required</v>
      </c>
      <c r="I65" s="550" t="str">
        <f>IF(K65&lt;&gt;0,"Answer Required","N/A")</f>
        <v>N/A</v>
      </c>
      <c r="J65" s="58" t="s">
        <v>223</v>
      </c>
      <c r="K65" s="15"/>
      <c r="L65" s="8" t="str">
        <f>IF(ISNA(HLOOKUP($G$2,'Prior Year Amounts'!$K$32:$AK$245,28,FALSE)),"",(HLOOKUP($G$2,'Prior Year Amounts'!$K$32:$AK$245,28,FALSE)))</f>
        <v/>
      </c>
      <c r="M65" s="8" t="str">
        <f>IF(ISERR(K65-L65),"",(K65-L65))</f>
        <v/>
      </c>
      <c r="N65" s="108" t="str">
        <f>IF(ISERR(IF(M65=0,0,IF((AND(L65=0,K65&gt;0)),1,IF((AND(L65=0,K65&lt;0)),-1,M65/ABS(L65))))),"",(IF(M65=0,0,IF((AND(L65=0,K65&gt;0)),1,IF((AND(L65=0,K65&lt;0)),-1,M65/ABS(L65))))))</f>
        <v/>
      </c>
      <c r="O65" s="108" t="str">
        <f>IF(L65="","",IF(OR((ABS(M65)&gt;19800000),AND(ABS(M65)&gt;9900000,ABS(N65)&gt;0.1)),"YES","-"))</f>
        <v/>
      </c>
    </row>
    <row r="66" spans="1:15" ht="12">
      <c r="A66" s="50"/>
      <c r="B66" s="50"/>
      <c r="C66" s="50"/>
      <c r="D66" s="50"/>
      <c r="E66" s="50"/>
      <c r="J66" s="57"/>
      <c r="L66" s="8"/>
      <c r="M66" s="8"/>
      <c r="N66" s="108"/>
      <c r="O66" s="108"/>
    </row>
    <row r="67" spans="1:15" ht="12">
      <c r="A67" s="52" t="s">
        <v>662</v>
      </c>
      <c r="B67" s="50"/>
      <c r="C67" s="50"/>
      <c r="D67" s="50"/>
      <c r="E67" s="50"/>
      <c r="F67" s="150"/>
      <c r="G67" s="548" t="str">
        <f>IF(K67&lt;&gt;0,"Answer Required","N/A")</f>
        <v>N/A</v>
      </c>
      <c r="H67" s="549" t="str">
        <f>IF(J67&lt;&gt;0,"Answer Required","N/A")</f>
        <v>Answer Required</v>
      </c>
      <c r="I67" s="550" t="str">
        <f>IF(K67&lt;&gt;0,"Answer Required","N/A")</f>
        <v>N/A</v>
      </c>
      <c r="J67" s="58" t="s">
        <v>921</v>
      </c>
      <c r="K67" s="15"/>
      <c r="L67" s="8" t="str">
        <f>IF(ISNA(HLOOKUP($G$2,'Prior Year Amounts'!$K$32:$AK$245,30,FALSE)),"",(HLOOKUP($G$2,'Prior Year Amounts'!$K$32:$AK$245,30,FALSE)))</f>
        <v/>
      </c>
      <c r="M67" s="8" t="str">
        <f>IF(ISERR(K67-L67),"",(K67-L67))</f>
        <v/>
      </c>
      <c r="N67" s="108" t="str">
        <f>IF(ISERR(IF(M67=0,0,IF((AND(L67=0,K67&gt;0)),1,IF((AND(L67=0,K67&lt;0)),-1,M67/ABS(L67))))),"",(IF(M67=0,0,IF((AND(L67=0,K67&gt;0)),1,IF((AND(L67=0,K67&lt;0)),-1,M67/ABS(L67))))))</f>
        <v/>
      </c>
      <c r="O67" s="108" t="str">
        <f>IF(L67="","",IF(OR((ABS(M67)&gt;19800000),AND(ABS(M67)&gt;9900000,ABS(N67)&gt;0.1)),"YES","-"))</f>
        <v/>
      </c>
    </row>
    <row r="68" spans="1:15" ht="12">
      <c r="A68" s="50"/>
      <c r="B68" s="50"/>
      <c r="C68" s="50"/>
      <c r="D68" s="50"/>
      <c r="E68" s="50"/>
      <c r="J68" s="57"/>
      <c r="L68" s="8"/>
      <c r="M68" s="8"/>
      <c r="N68" s="108"/>
      <c r="O68" s="108"/>
    </row>
    <row r="69" spans="1:15" ht="12">
      <c r="A69" s="52" t="s">
        <v>663</v>
      </c>
      <c r="B69" s="50"/>
      <c r="C69" s="50"/>
      <c r="D69" s="50"/>
      <c r="E69" s="50"/>
      <c r="F69" s="150"/>
      <c r="G69" s="548" t="str">
        <f>IF(K69&lt;&gt;0,"Answer Required","N/A")</f>
        <v>N/A</v>
      </c>
      <c r="H69" s="549" t="str">
        <f>IF(J69&lt;&gt;0,"Answer Required","N/A")</f>
        <v>Answer Required</v>
      </c>
      <c r="I69" s="550" t="str">
        <f>IF(K69&lt;&gt;0,"Answer Required","N/A")</f>
        <v>N/A</v>
      </c>
      <c r="J69" s="58" t="s">
        <v>921</v>
      </c>
      <c r="K69" s="15"/>
      <c r="L69" s="8" t="str">
        <f>IF(ISNA(HLOOKUP($G$2,'Prior Year Amounts'!$K$32:$AK$245,32,FALSE)),"",(HLOOKUP($G$2,'Prior Year Amounts'!$K$32:$AK$245,32,FALSE)))</f>
        <v/>
      </c>
      <c r="M69" s="8" t="str">
        <f>IF(ISERR(K69-L69),"",(K69-L69))</f>
        <v/>
      </c>
      <c r="N69" s="108" t="str">
        <f>IF(ISERR(IF(M69=0,0,IF((AND(L69=0,K69&gt;0)),1,IF((AND(L69=0,K69&lt;0)),-1,M69/ABS(L69))))),"",(IF(M69=0,0,IF((AND(L69=0,K69&gt;0)),1,IF((AND(L69=0,K69&lt;0)),-1,M69/ABS(L69))))))</f>
        <v/>
      </c>
      <c r="O69" s="108" t="str">
        <f>IF(L69="","",IF(OR((ABS(M69)&gt;19800000),AND(ABS(M69)&gt;9900000,ABS(N69)&gt;0.1)),"YES","-"))</f>
        <v/>
      </c>
    </row>
    <row r="70" spans="1:15" ht="12">
      <c r="A70" s="50"/>
      <c r="B70" s="50"/>
      <c r="C70" s="50"/>
      <c r="D70" s="50"/>
      <c r="E70" s="50"/>
      <c r="J70" s="57"/>
      <c r="L70" s="8"/>
      <c r="M70" s="8"/>
      <c r="N70" s="108"/>
      <c r="O70" s="108"/>
    </row>
    <row r="71" spans="1:15" ht="12">
      <c r="A71" s="51" t="s">
        <v>189</v>
      </c>
      <c r="B71" s="50"/>
      <c r="C71" s="50"/>
      <c r="D71" s="50"/>
      <c r="E71" s="50"/>
      <c r="J71" s="58"/>
      <c r="K71" s="15"/>
      <c r="L71" s="8" t="str">
        <f>IF(ISNA(HLOOKUP($G$2,'Prior Year Amounts'!$K$32:$AK$245,34,FALSE)),"",(HLOOKUP($G$2,'Prior Year Amounts'!$K$32:$AK$245,34,FALSE)))</f>
        <v/>
      </c>
      <c r="M71" s="8" t="str">
        <f>IF(ISERR(K71-L71),"",(K71-L71))</f>
        <v/>
      </c>
      <c r="N71" s="108" t="str">
        <f>IF(ISERR(IF(M71=0,0,IF((AND(L71=0,K71&gt;0)),1,IF((AND(L71=0,K71&lt;0)),-1,M71/ABS(L71))))),"",(IF(M71=0,0,IF((AND(L71=0,K71&gt;0)),1,IF((AND(L71=0,K71&lt;0)),-1,M71/ABS(L71))))))</f>
        <v/>
      </c>
      <c r="O71" s="108" t="str">
        <f>IF(L71="","",IF(OR((ABS(M71)&gt;19800000),AND(ABS(M71)&gt;9900000,ABS(N71)&gt;0.1)),"YES","-"))</f>
        <v/>
      </c>
    </row>
    <row r="72" spans="1:15" ht="12">
      <c r="A72" s="50"/>
      <c r="B72" s="50"/>
      <c r="C72" s="50"/>
      <c r="D72" s="50"/>
      <c r="E72" s="50"/>
      <c r="J72" s="57"/>
      <c r="L72" s="8"/>
      <c r="M72" s="8"/>
      <c r="N72" s="108"/>
      <c r="O72" s="108"/>
    </row>
    <row r="73" spans="1:15" ht="12">
      <c r="A73" s="51" t="s">
        <v>190</v>
      </c>
      <c r="B73" s="50"/>
      <c r="C73" s="50"/>
      <c r="D73" s="50"/>
      <c r="E73" s="50"/>
      <c r="J73" s="57"/>
      <c r="K73" s="15"/>
      <c r="L73" s="8" t="str">
        <f>IF(ISNA(HLOOKUP($G$2,'Prior Year Amounts'!$K$32:$AK$245,36,FALSE)),"",(HLOOKUP($G$2,'Prior Year Amounts'!$K$32:$AK$245,36,FALSE)))</f>
        <v/>
      </c>
      <c r="M73" s="8" t="str">
        <f>IF(ISERR(K73-L73),"",(K73-L73))</f>
        <v/>
      </c>
      <c r="N73" s="108" t="str">
        <f>IF(ISERR(IF(M73=0,0,IF((AND(L73=0,K73&gt;0)),1,IF((AND(L73=0,K73&lt;0)),-1,M73/ABS(L73))))),"",(IF(M73=0,0,IF((AND(L73=0,K73&gt;0)),1,IF((AND(L73=0,K73&lt;0)),-1,M73/ABS(L73))))))</f>
        <v/>
      </c>
      <c r="O73" s="108" t="str">
        <f>IF(L73="","",IF(OR((ABS(M73)&gt;19800000),AND(ABS(M73)&gt;9900000,ABS(N73)&gt;0.1)),"YES","-"))</f>
        <v/>
      </c>
    </row>
    <row r="74" spans="1:15" ht="12">
      <c r="A74" s="50"/>
      <c r="B74" s="50"/>
      <c r="C74" s="50"/>
      <c r="D74" s="50"/>
      <c r="E74" s="50"/>
      <c r="J74" s="57"/>
      <c r="L74" s="8"/>
      <c r="M74" s="8"/>
      <c r="N74" s="108"/>
      <c r="O74" s="108"/>
    </row>
    <row r="75" spans="1:15" ht="12" hidden="1">
      <c r="A75" s="51"/>
      <c r="B75" s="50"/>
      <c r="C75" s="50"/>
      <c r="D75" s="50"/>
      <c r="E75" s="50"/>
      <c r="J75" s="57"/>
      <c r="L75" s="8"/>
      <c r="M75" s="8">
        <f>K75-L75</f>
        <v>0</v>
      </c>
      <c r="N75" s="108" t="str">
        <f>IF(M75=0,"0%",M75/ABS(L75))</f>
        <v>0%</v>
      </c>
      <c r="O75" s="108" t="str">
        <f t="shared" ref="O75" si="7">IF(L75="","",IF(OR((ABS(M75)&gt;19400000),AND(ABS(M75)&gt;9700000,ABS(N75)&gt;0.1)),"YES","-"))</f>
        <v/>
      </c>
    </row>
    <row r="76" spans="1:15" ht="12">
      <c r="A76" s="50" t="s">
        <v>94</v>
      </c>
      <c r="B76" s="50"/>
      <c r="C76" s="50"/>
      <c r="D76" s="50"/>
      <c r="E76" s="50"/>
      <c r="J76" s="57"/>
      <c r="K76" s="15"/>
      <c r="L76" s="8" t="str">
        <f>IF(ISNA(HLOOKUP($G$2,'Prior Year Amounts'!$K$32:$AK$245,39,FALSE)),"",(HLOOKUP($G$2,'Prior Year Amounts'!$K$32:$AK$245,39,FALSE)))</f>
        <v/>
      </c>
      <c r="M76" s="8" t="str">
        <f>IF(ISERR(K76-L76),"",(K76-L76))</f>
        <v/>
      </c>
      <c r="N76" s="108" t="str">
        <f>IF(ISERR(IF(M76=0,0,IF((AND(L76=0,K76&gt;0)),1,IF((AND(L76=0,K76&lt;0)),-1,M76/ABS(L76))))),"",(IF(M76=0,0,IF((AND(L76=0,K76&gt;0)),1,IF((AND(L76=0,K76&lt;0)),-1,M76/ABS(L76))))))</f>
        <v/>
      </c>
      <c r="O76" s="108" t="str">
        <f>IF(L76="","",IF(OR((ABS(M76)&gt;19800000),AND(ABS(M76)&gt;9900000,ABS(N76)&gt;0.1)),"YES","-"))</f>
        <v/>
      </c>
    </row>
    <row r="77" spans="1:15" ht="12">
      <c r="A77" s="50" t="s">
        <v>188</v>
      </c>
      <c r="B77" s="50"/>
      <c r="C77" s="50"/>
      <c r="D77" s="50"/>
      <c r="E77" s="50"/>
      <c r="J77" s="57"/>
      <c r="K77" s="15"/>
      <c r="L77" s="8" t="str">
        <f>IF(ISNA(HLOOKUP($G$2,'Prior Year Amounts'!$K$32:$AK$245,40,FALSE)),"",(HLOOKUP($G$2,'Prior Year Amounts'!$K$32:$AK$245,40,FALSE)))</f>
        <v/>
      </c>
      <c r="M77" s="8" t="str">
        <f>IF(ISERR(K77-L77),"",(K77-L77))</f>
        <v/>
      </c>
      <c r="N77" s="108" t="str">
        <f>IF(ISERR(IF(M77=0,0,IF((AND(L77=0,K77&gt;0)),1,IF((AND(L77=0,K77&lt;0)),-1,M77/ABS(L77))))),"",(IF(M77=0,0,IF((AND(L77=0,K77&gt;0)),1,IF((AND(L77=0,K77&lt;0)),-1,M77/ABS(L77))))))</f>
        <v/>
      </c>
      <c r="O77" s="108" t="str">
        <f>IF(L77="","",IF(OR((ABS(M77)&gt;19800000),AND(ABS(M77)&gt;9900000,ABS(N77)&gt;0.1)),"YES","-"))</f>
        <v/>
      </c>
    </row>
    <row r="78" spans="1:15" ht="12" hidden="1">
      <c r="A78" s="335" t="s">
        <v>589</v>
      </c>
      <c r="B78" s="50"/>
      <c r="C78" s="50"/>
      <c r="D78" s="50"/>
      <c r="E78" s="50"/>
      <c r="J78" s="57"/>
      <c r="L78" s="8" t="str">
        <f>IF(ISNA(HLOOKUP($G$2,'Prior Year Amounts'!$K$32:$AK$245,41,FALSE)),"",(HLOOKUP($G$2,'Prior Year Amounts'!$K$32:$AK$245,41,FALSE)))</f>
        <v/>
      </c>
      <c r="M78" s="8" t="str">
        <f>IF(ISERR(K78-L78),"",(K78-L78))</f>
        <v/>
      </c>
      <c r="N78" s="108" t="str">
        <f>IF(ISERR(IF(M78=0,0,IF((AND(L78=0,K78&gt;0)),1,IF((AND(L78=0,K78&lt;0)),-1,M78/ABS(L78))))),"",(IF(M78=0,0,IF((AND(L78=0,K78&gt;0)),1,IF((AND(L78=0,K78&lt;0)),-1,M78/ABS(L78))))))</f>
        <v/>
      </c>
      <c r="O78" s="108" t="str">
        <f t="shared" ref="O78" si="8">IF(L78="","",IF(OR((ABS(M78)&gt;20400000),AND(ABS(M78)&gt;10200000,ABS(N78)&gt;0.1)),"YES","-"))</f>
        <v/>
      </c>
    </row>
    <row r="79" spans="1:15" ht="12">
      <c r="A79" s="50" t="s">
        <v>156</v>
      </c>
      <c r="B79" s="50"/>
      <c r="C79" s="50"/>
      <c r="D79" s="50"/>
      <c r="E79" s="50"/>
      <c r="F79" s="150"/>
      <c r="G79" s="548" t="str">
        <f>IF(K79&lt;&gt;0,"Answer Required","N/A")</f>
        <v>N/A</v>
      </c>
      <c r="H79" s="549" t="str">
        <f>IF(J79&lt;&gt;0,"Answer Required","N/A")</f>
        <v>N/A</v>
      </c>
      <c r="I79" s="550" t="str">
        <f>IF(K79&lt;&gt;0,"Answer Required","N/A")</f>
        <v>N/A</v>
      </c>
      <c r="J79" s="57"/>
      <c r="K79" s="15"/>
      <c r="L79" s="8" t="str">
        <f>IF(ISNA(HLOOKUP($G$2,'Prior Year Amounts'!$K$32:$AK$245,42,FALSE)),"",(HLOOKUP($G$2,'Prior Year Amounts'!$K$32:$AK$245,42,FALSE)))</f>
        <v/>
      </c>
      <c r="M79" s="8" t="str">
        <f>IF(ISERR(K79-L79),"",(K79-L79))</f>
        <v/>
      </c>
      <c r="N79" s="108" t="str">
        <f>IF(ISERR(IF(M79=0,0,IF((AND(L79=0,K79&gt;0)),1,IF((AND(L79=0,K79&lt;0)),-1,M79/ABS(L79))))),"",(IF(M79=0,0,IF((AND(L79=0,K79&gt;0)),1,IF((AND(L79=0,K79&lt;0)),-1,M79/ABS(L79))))))</f>
        <v/>
      </c>
      <c r="O79" s="108" t="str">
        <f>IF(L79="","",IF(OR((ABS(M79)&gt;19800000),AND(ABS(M79)&gt;9900000,ABS(N79)&gt;0.1)),"YES","-"))</f>
        <v/>
      </c>
    </row>
    <row r="80" spans="1:15" ht="12">
      <c r="A80" s="50"/>
      <c r="B80" s="51" t="s">
        <v>97</v>
      </c>
      <c r="C80" s="50"/>
      <c r="D80" s="50"/>
      <c r="E80" s="50"/>
      <c r="J80" s="57"/>
      <c r="K80" s="13">
        <f>SUM(K76:K79)</f>
        <v>0</v>
      </c>
      <c r="L80" s="13">
        <f>SUM(L76:L79)</f>
        <v>0</v>
      </c>
      <c r="M80" s="13">
        <f>K80-L80</f>
        <v>0</v>
      </c>
      <c r="N80" s="133">
        <f>IF(M80=0,0,IF((AND(L80=0,K80&gt;0)),1,IF((AND(L80=0,K80&lt;0)),-1,M80/ABS(L80))))</f>
        <v>0</v>
      </c>
      <c r="O80" s="108"/>
    </row>
    <row r="81" spans="1:15" ht="64.5" hidden="1" customHeight="1">
      <c r="A81" s="581" t="s">
        <v>590</v>
      </c>
      <c r="B81" s="581"/>
      <c r="C81" s="581"/>
      <c r="D81" s="581"/>
      <c r="E81" s="581"/>
      <c r="F81" s="582"/>
      <c r="G81" s="582"/>
      <c r="H81" s="582"/>
      <c r="I81" s="582"/>
      <c r="J81" s="57"/>
      <c r="L81" s="8"/>
      <c r="M81" s="8"/>
      <c r="N81" s="108"/>
      <c r="O81" s="108"/>
    </row>
    <row r="82" spans="1:15" ht="12" hidden="1">
      <c r="A82" s="50"/>
      <c r="B82" s="50"/>
      <c r="C82" s="50"/>
      <c r="D82" s="50"/>
      <c r="E82" s="50"/>
      <c r="G82" s="1" t="str">
        <f>G1</f>
        <v/>
      </c>
      <c r="J82" s="57"/>
      <c r="L82" s="8"/>
      <c r="M82" s="8">
        <f t="shared" ref="M82:M86" si="9">K82-L82</f>
        <v>0</v>
      </c>
      <c r="N82" s="108" t="str">
        <f t="shared" ref="N82:N86" si="10">IF(M82=0,"0%",M82/ABS(L82))</f>
        <v>0%</v>
      </c>
      <c r="O82" s="108"/>
    </row>
    <row r="83" spans="1:15" ht="12" hidden="1">
      <c r="A83" s="50"/>
      <c r="B83" s="50"/>
      <c r="C83" s="50"/>
      <c r="D83" s="50"/>
      <c r="E83" s="50"/>
      <c r="G83" s="1">
        <f>G2</f>
        <v>0</v>
      </c>
      <c r="J83" s="57"/>
      <c r="L83" s="8"/>
      <c r="M83" s="8">
        <f t="shared" si="9"/>
        <v>0</v>
      </c>
      <c r="N83" s="108" t="str">
        <f t="shared" si="10"/>
        <v>0%</v>
      </c>
      <c r="O83" s="108"/>
    </row>
    <row r="84" spans="1:15" ht="12" hidden="1">
      <c r="A84" s="50"/>
      <c r="B84" s="50"/>
      <c r="C84" s="50"/>
      <c r="D84" s="50"/>
      <c r="E84" s="50"/>
      <c r="J84" s="57"/>
      <c r="L84" s="8"/>
      <c r="M84" s="8">
        <f t="shared" si="9"/>
        <v>0</v>
      </c>
      <c r="N84" s="108" t="str">
        <f t="shared" si="10"/>
        <v>0%</v>
      </c>
      <c r="O84" s="108"/>
    </row>
    <row r="85" spans="1:15" ht="12" hidden="1">
      <c r="A85" s="50"/>
      <c r="B85" s="50"/>
      <c r="C85" s="50"/>
      <c r="D85" s="50"/>
      <c r="E85" s="50"/>
      <c r="J85" s="57"/>
      <c r="L85" s="8"/>
      <c r="M85" s="8">
        <f t="shared" si="9"/>
        <v>0</v>
      </c>
      <c r="N85" s="108" t="str">
        <f t="shared" si="10"/>
        <v>0%</v>
      </c>
      <c r="O85" s="108"/>
    </row>
    <row r="86" spans="1:15" ht="12" hidden="1">
      <c r="A86" s="50"/>
      <c r="B86" s="50"/>
      <c r="C86" s="50"/>
      <c r="D86" s="50"/>
      <c r="E86" s="50"/>
      <c r="J86" s="57"/>
      <c r="L86" s="8"/>
      <c r="M86" s="8">
        <f t="shared" si="9"/>
        <v>0</v>
      </c>
      <c r="N86" s="108" t="str">
        <f t="shared" si="10"/>
        <v>0%</v>
      </c>
      <c r="O86" s="108"/>
    </row>
    <row r="87" spans="1:15" ht="12">
      <c r="A87" s="50"/>
      <c r="B87" s="50"/>
      <c r="C87" s="50"/>
      <c r="D87" s="50"/>
      <c r="E87" s="50"/>
      <c r="J87" s="57"/>
      <c r="L87" s="8"/>
      <c r="M87" s="8"/>
      <c r="N87" s="108"/>
      <c r="O87" s="108"/>
    </row>
    <row r="88" spans="1:15" ht="12">
      <c r="A88" s="50" t="s">
        <v>644</v>
      </c>
      <c r="B88" s="50"/>
      <c r="C88" s="50"/>
      <c r="D88" s="50"/>
      <c r="E88" s="50"/>
      <c r="J88" s="58" t="s">
        <v>250</v>
      </c>
      <c r="K88" s="15"/>
      <c r="L88" s="8" t="str">
        <f>IF(ISNA(HLOOKUP($G$2,'Prior Year Amounts'!$K$32:$AK$245,51,FALSE)),"",(HLOOKUP($G$2,'Prior Year Amounts'!$K$32:$AK$245,51,FALSE)))</f>
        <v/>
      </c>
      <c r="M88" s="8" t="str">
        <f t="shared" ref="M88:M94" si="11">IF(ISERR(K88-L88),"",(K88-L88))</f>
        <v/>
      </c>
      <c r="N88" s="108" t="str">
        <f t="shared" ref="N88:N94" si="12">IF(ISERR(IF(M88=0,0,IF((AND(L88=0,K88&gt;0)),1,IF((AND(L88=0,K88&lt;0)),-1,M88/ABS(L88))))),"",(IF(M88=0,0,IF((AND(L88=0,K88&gt;0)),1,IF((AND(L88=0,K88&lt;0)),-1,M88/ABS(L88))))))</f>
        <v/>
      </c>
      <c r="O88" s="108" t="str">
        <f t="shared" ref="O88:O94" si="13">IF(L88="","",IF(OR((ABS(M88)&gt;19800000),AND(ABS(M88)&gt;9900000,ABS(N88)&gt;0.1)),"YES","-"))</f>
        <v/>
      </c>
    </row>
    <row r="89" spans="1:15" ht="12">
      <c r="A89" s="50" t="s">
        <v>408</v>
      </c>
      <c r="B89" s="50"/>
      <c r="C89" s="50"/>
      <c r="D89" s="50"/>
      <c r="E89" s="50"/>
      <c r="J89" s="58" t="s">
        <v>487</v>
      </c>
      <c r="K89" s="15"/>
      <c r="L89" s="8" t="str">
        <f>IF(ISNA(HLOOKUP($G$2,'Prior Year Amounts'!$K$32:$AK$245,52,FALSE)),"",(HLOOKUP($G$2,'Prior Year Amounts'!$K$32:$AK$245,52,FALSE)))</f>
        <v/>
      </c>
      <c r="M89" s="8" t="str">
        <f t="shared" si="11"/>
        <v/>
      </c>
      <c r="N89" s="108" t="str">
        <f t="shared" si="12"/>
        <v/>
      </c>
      <c r="O89" s="108" t="str">
        <f t="shared" si="13"/>
        <v/>
      </c>
    </row>
    <row r="90" spans="1:15" ht="12">
      <c r="A90" s="50" t="s">
        <v>62</v>
      </c>
      <c r="B90" s="50"/>
      <c r="C90" s="50"/>
      <c r="D90" s="50"/>
      <c r="E90" s="50"/>
      <c r="J90" s="58" t="s">
        <v>366</v>
      </c>
      <c r="K90" s="15"/>
      <c r="L90" s="8" t="str">
        <f>IF(ISNA(HLOOKUP($G$2,'Prior Year Amounts'!$K$32:$AK$245,53,FALSE)),"",(HLOOKUP($G$2,'Prior Year Amounts'!$K$32:$AK$245,53,FALSE)))</f>
        <v/>
      </c>
      <c r="M90" s="8" t="str">
        <f t="shared" si="11"/>
        <v/>
      </c>
      <c r="N90" s="108" t="str">
        <f t="shared" si="12"/>
        <v/>
      </c>
      <c r="O90" s="108" t="str">
        <f t="shared" si="13"/>
        <v/>
      </c>
    </row>
    <row r="91" spans="1:15" ht="12">
      <c r="A91" s="50" t="s">
        <v>152</v>
      </c>
      <c r="B91" s="50"/>
      <c r="C91" s="50"/>
      <c r="D91" s="50"/>
      <c r="E91" s="50"/>
      <c r="J91" s="58" t="s">
        <v>363</v>
      </c>
      <c r="K91" s="15"/>
      <c r="L91" s="8" t="str">
        <f>IF(ISNA(HLOOKUP($G$2,'Prior Year Amounts'!$K$32:$AK$245,54,FALSE)),"",(HLOOKUP($G$2,'Prior Year Amounts'!$K$32:$AK$245,54,FALSE)))</f>
        <v/>
      </c>
      <c r="M91" s="8" t="str">
        <f t="shared" si="11"/>
        <v/>
      </c>
      <c r="N91" s="108" t="str">
        <f t="shared" si="12"/>
        <v/>
      </c>
      <c r="O91" s="108" t="str">
        <f t="shared" si="13"/>
        <v/>
      </c>
    </row>
    <row r="92" spans="1:15" ht="12">
      <c r="A92" s="50" t="s">
        <v>210</v>
      </c>
      <c r="B92" s="50"/>
      <c r="C92" s="50"/>
      <c r="D92" s="50"/>
      <c r="E92" s="50"/>
      <c r="J92" s="58" t="s">
        <v>367</v>
      </c>
      <c r="K92" s="15"/>
      <c r="L92" s="8" t="str">
        <f>IF(ISNA(HLOOKUP($G$2,'Prior Year Amounts'!$K$32:$AK$245,55,FALSE)),"",(HLOOKUP($G$2,'Prior Year Amounts'!$K$32:$AK$245,55,FALSE)))</f>
        <v/>
      </c>
      <c r="M92" s="8" t="str">
        <f t="shared" si="11"/>
        <v/>
      </c>
      <c r="N92" s="108" t="str">
        <f t="shared" si="12"/>
        <v/>
      </c>
      <c r="O92" s="108" t="str">
        <f t="shared" si="13"/>
        <v/>
      </c>
    </row>
    <row r="93" spans="1:15" ht="12">
      <c r="A93" s="50" t="s">
        <v>800</v>
      </c>
      <c r="B93" s="50"/>
      <c r="C93" s="50"/>
      <c r="D93" s="50"/>
      <c r="E93" s="50"/>
      <c r="J93" s="58" t="s">
        <v>217</v>
      </c>
      <c r="K93" s="15"/>
      <c r="L93" s="8" t="str">
        <f>IF(ISNA(HLOOKUP($G$2,'Prior Year Amounts'!$K$32:$AK$245,56,FALSE)),"",(HLOOKUP($G$2,'Prior Year Amounts'!$K$32:$AK$245,56,FALSE)))</f>
        <v/>
      </c>
      <c r="M93" s="8" t="str">
        <f t="shared" si="11"/>
        <v/>
      </c>
      <c r="N93" s="108" t="str">
        <f t="shared" si="12"/>
        <v/>
      </c>
      <c r="O93" s="108" t="str">
        <f t="shared" si="13"/>
        <v/>
      </c>
    </row>
    <row r="94" spans="1:15" ht="12">
      <c r="A94" s="50" t="s">
        <v>598</v>
      </c>
      <c r="B94" s="50"/>
      <c r="C94" s="50"/>
      <c r="D94" s="50"/>
      <c r="E94" s="50"/>
      <c r="J94" s="58" t="s">
        <v>793</v>
      </c>
      <c r="K94" s="47"/>
      <c r="L94" s="8" t="str">
        <f>IF(ISNA(HLOOKUP($G$2,'Prior Year Amounts'!$K$32:$AK$245,57,FALSE)),"",(HLOOKUP($G$2,'Prior Year Amounts'!$K$32:$AK$245,57,FALSE)))</f>
        <v/>
      </c>
      <c r="M94" s="8" t="str">
        <f t="shared" si="11"/>
        <v/>
      </c>
      <c r="N94" s="108" t="str">
        <f t="shared" si="12"/>
        <v/>
      </c>
      <c r="O94" s="108" t="str">
        <f t="shared" si="13"/>
        <v/>
      </c>
    </row>
    <row r="95" spans="1:15" ht="12">
      <c r="A95" s="50"/>
      <c r="B95" s="51" t="s">
        <v>178</v>
      </c>
      <c r="C95" s="50"/>
      <c r="D95" s="50"/>
      <c r="E95" s="50"/>
      <c r="J95" s="58"/>
      <c r="K95" s="13">
        <f>SUM(K88:K94)</f>
        <v>0</v>
      </c>
      <c r="L95" s="13">
        <f>SUM(L88:L94)</f>
        <v>0</v>
      </c>
      <c r="M95" s="13">
        <f>K95-L95</f>
        <v>0</v>
      </c>
      <c r="N95" s="133">
        <f>IF(M95=0,0,IF((AND(L95=0,K95&gt;0)),1,IF((AND(L95=0,K95&lt;0)),-1,M95/ABS(L95))))</f>
        <v>0</v>
      </c>
      <c r="O95" s="108"/>
    </row>
    <row r="96" spans="1:15" ht="12">
      <c r="A96" s="50"/>
      <c r="B96" s="50"/>
      <c r="C96" s="50"/>
      <c r="D96" s="50"/>
      <c r="E96" s="50"/>
      <c r="J96" s="57"/>
      <c r="L96" s="8"/>
      <c r="M96" s="8"/>
      <c r="N96" s="108"/>
      <c r="O96" s="108"/>
    </row>
    <row r="97" spans="1:15" ht="12" hidden="1">
      <c r="A97" s="50"/>
      <c r="B97" s="50"/>
      <c r="C97" s="50"/>
      <c r="D97" s="50"/>
      <c r="E97" s="50"/>
      <c r="J97" s="57"/>
      <c r="L97" s="8"/>
      <c r="M97" s="8">
        <f>K97-L97</f>
        <v>0</v>
      </c>
      <c r="N97" s="108" t="str">
        <f>IF(M97=0,"0%",M97/ABS(L97))</f>
        <v>0%</v>
      </c>
      <c r="O97" s="108"/>
    </row>
    <row r="98" spans="1:15" ht="12">
      <c r="A98" s="50" t="s">
        <v>209</v>
      </c>
      <c r="B98" s="50"/>
      <c r="C98" s="50"/>
      <c r="D98" s="50"/>
      <c r="E98" s="50"/>
      <c r="J98" s="58" t="s">
        <v>367</v>
      </c>
      <c r="K98" s="15"/>
      <c r="L98" s="8" t="str">
        <f>IF(ISNA(HLOOKUP($G$2,'Prior Year Amounts'!$K$32:$AK$245,61,FALSE)),"",(HLOOKUP($G$2,'Prior Year Amounts'!$K$32:$AK$245,61,FALSE)))</f>
        <v/>
      </c>
      <c r="M98" s="8" t="str">
        <f>IF(ISERR(K98-L98),"",(K98-L98))</f>
        <v/>
      </c>
      <c r="N98" s="108" t="str">
        <f>IF(ISERR(IF(M98=0,0,IF((AND(L98=0,K98&gt;0)),1,IF((AND(L98=0,K98&lt;0)),-1,M98/ABS(L98))))),"",(IF(M98=0,0,IF((AND(L98=0,K98&gt;0)),1,IF((AND(L98=0,K98&lt;0)),-1,M98/ABS(L98))))))</f>
        <v/>
      </c>
      <c r="O98" s="108" t="str">
        <f>IF(L98="","",IF(OR((ABS(M98)&gt;19800000),AND(ABS(M98)&gt;9900000,ABS(N98)&gt;0.1)),"YES","-"))</f>
        <v/>
      </c>
    </row>
    <row r="99" spans="1:15" ht="12" hidden="1">
      <c r="A99" s="50" t="s">
        <v>63</v>
      </c>
      <c r="B99" s="50"/>
      <c r="C99" s="50"/>
      <c r="D99" s="50"/>
      <c r="E99" s="50"/>
      <c r="J99" s="58" t="s">
        <v>368</v>
      </c>
      <c r="K99" s="47"/>
      <c r="L99" s="8" t="str">
        <f>IF(ISNA(HLOOKUP($G$2,'Prior Year Amounts'!$K$32:$AK$245,62,FALSE)),"",(HLOOKUP($G$2,'Prior Year Amounts'!$K$32:$AK$245,62,FALSE)))</f>
        <v/>
      </c>
      <c r="M99" s="8" t="str">
        <f>IF(ISERR(K99-L99),"",(K99-L99))</f>
        <v/>
      </c>
      <c r="N99" s="108" t="str">
        <f>IF(ISERR(IF(M99=0,0,IF((AND(L99=0,K99&gt;0)),1,IF((AND(L99=0,K99&lt;0)),-1,M99/ABS(L99))))),"",(IF(M99=0,0,IF((AND(L99=0,K99&gt;0)),1,IF((AND(L99=0,K99&lt;0)),-1,M99/ABS(L99))))))</f>
        <v/>
      </c>
      <c r="O99" s="108" t="str">
        <f t="shared" ref="O99" si="14">IF(L99="","",IF(OR((ABS(M99)&gt;20400000),AND(ABS(M99)&gt;10200000,ABS(N99)&gt;0.1)),"YES","-"))</f>
        <v/>
      </c>
    </row>
    <row r="100" spans="1:15" ht="12">
      <c r="A100" s="50" t="s">
        <v>801</v>
      </c>
      <c r="B100" s="50"/>
      <c r="C100" s="50"/>
      <c r="D100" s="50"/>
      <c r="E100" s="50"/>
      <c r="J100" s="58" t="s">
        <v>486</v>
      </c>
      <c r="K100" s="47"/>
      <c r="L100" s="8" t="str">
        <f>IF(ISNA(HLOOKUP($G$2,'Prior Year Amounts'!$K$32:$AK$245,63,FALSE)),"",(HLOOKUP($G$2,'Prior Year Amounts'!$K$32:$AK$245,63,FALSE)))</f>
        <v/>
      </c>
      <c r="M100" s="8" t="str">
        <f>IF(ISERR(K100-L100),"",(K100-L100))</f>
        <v/>
      </c>
      <c r="N100" s="108" t="str">
        <f>IF(ISERR(IF(M100=0,0,IF((AND(L100=0,K100&gt;0)),1,IF((AND(L100=0,K100&lt;0)),-1,M100/ABS(L100))))),"",(IF(M100=0,0,IF((AND(L100=0,K100&gt;0)),1,IF((AND(L100=0,K100&lt;0)),-1,M100/ABS(L100))))))</f>
        <v/>
      </c>
      <c r="O100" s="108" t="str">
        <f>IF(L100="","",IF(OR((ABS(M100)&gt;19800000),AND(ABS(M100)&gt;9900000,ABS(N100)&gt;0.1)),"YES","-"))</f>
        <v/>
      </c>
    </row>
    <row r="101" spans="1:15" ht="12">
      <c r="A101" s="50" t="s">
        <v>599</v>
      </c>
      <c r="B101" s="50"/>
      <c r="C101" s="50"/>
      <c r="D101" s="50"/>
      <c r="E101" s="50"/>
      <c r="J101" s="58" t="s">
        <v>793</v>
      </c>
      <c r="K101" s="47"/>
      <c r="L101" s="8" t="str">
        <f>IF(ISNA(HLOOKUP($G$2,'Prior Year Amounts'!$K$32:$AK$245,64,FALSE)),"",(HLOOKUP($G$2,'Prior Year Amounts'!$K$32:$AK$245,64,FALSE)))</f>
        <v/>
      </c>
      <c r="M101" s="8" t="str">
        <f>IF(ISERR(K101-L101),"",(K101-L101))</f>
        <v/>
      </c>
      <c r="N101" s="108" t="str">
        <f>IF(ISERR(IF(M101=0,0,IF((AND(L101=0,K101&gt;0)),1,IF((AND(L101=0,K101&lt;0)),-1,M101/ABS(L101))))),"",(IF(M101=0,0,IF((AND(L101=0,K101&gt;0)),1,IF((AND(L101=0,K101&lt;0)),-1,M101/ABS(L101))))))</f>
        <v/>
      </c>
      <c r="O101" s="108" t="str">
        <f>IF(L101="","",IF(OR((ABS(M101)&gt;19800000),AND(ABS(M101)&gt;9900000,ABS(N101)&gt;0.1)),"YES","-"))</f>
        <v/>
      </c>
    </row>
    <row r="102" spans="1:15" ht="12">
      <c r="A102" s="50"/>
      <c r="B102" s="51" t="s">
        <v>179</v>
      </c>
      <c r="C102" s="50"/>
      <c r="D102" s="50"/>
      <c r="E102" s="50"/>
      <c r="J102" s="58"/>
      <c r="K102" s="13">
        <f>SUM(K98:K101)</f>
        <v>0</v>
      </c>
      <c r="L102" s="13">
        <f>SUM(L98:L101)</f>
        <v>0</v>
      </c>
      <c r="M102" s="13">
        <f>K102-L102</f>
        <v>0</v>
      </c>
      <c r="N102" s="133">
        <f>IF(M102=0,0,IF((AND(L102=0,K102&gt;0)),1,IF((AND(L102=0,K102&lt;0)),-1,M102/ABS(L102))))</f>
        <v>0</v>
      </c>
      <c r="O102" s="108"/>
    </row>
    <row r="103" spans="1:15" ht="12">
      <c r="A103" s="50"/>
      <c r="B103" s="50"/>
      <c r="C103" s="50"/>
      <c r="D103" s="50"/>
      <c r="E103" s="50"/>
      <c r="J103" s="57"/>
      <c r="L103" s="8"/>
      <c r="M103" s="8"/>
      <c r="N103" s="108"/>
      <c r="O103" s="108"/>
    </row>
    <row r="104" spans="1:15" ht="12" hidden="1">
      <c r="A104" s="50"/>
      <c r="B104" s="50"/>
      <c r="C104" s="50"/>
      <c r="D104" s="50"/>
      <c r="E104" s="50"/>
      <c r="J104" s="57"/>
      <c r="L104" s="8"/>
      <c r="M104" s="8">
        <f>K104-L104</f>
        <v>0</v>
      </c>
      <c r="N104" s="108" t="str">
        <f>IF(M104=0,"0%",M104/ABS(L104))</f>
        <v>0%</v>
      </c>
      <c r="O104" s="108"/>
    </row>
    <row r="105" spans="1:15" ht="12">
      <c r="A105" s="50" t="s">
        <v>180</v>
      </c>
      <c r="B105" s="50"/>
      <c r="C105" s="50"/>
      <c r="D105" s="50"/>
      <c r="E105" s="50"/>
      <c r="J105" s="57"/>
      <c r="K105" s="15"/>
      <c r="L105" s="8" t="str">
        <f>IF(ISNA(HLOOKUP($G$2,'Prior Year Amounts'!$K$32:$AK$245,68,FALSE)),"",(HLOOKUP($G$2,'Prior Year Amounts'!$K$32:$AK$245,68,FALSE)))</f>
        <v/>
      </c>
      <c r="M105" s="8" t="str">
        <f>IF(ISERR(K105-L105),"",(K105-L105))</f>
        <v/>
      </c>
      <c r="N105" s="108" t="str">
        <f>IF(ISERR(IF(M105=0,0,IF((AND(L105=0,K105&gt;0)),1,IF((AND(L105=0,K105&lt;0)),-1,M105/ABS(L105))))),"",(IF(M105=0,0,IF((AND(L105=0,K105&gt;0)),1,IF((AND(L105=0,K105&lt;0)),-1,M105/ABS(L105))))))</f>
        <v/>
      </c>
      <c r="O105" s="108" t="str">
        <f>IF(L105="","",IF(OR((ABS(M105)&gt;19800000),AND(ABS(M105)&gt;9900000,ABS(N105)&gt;0.1)),"YES","-"))</f>
        <v/>
      </c>
    </row>
    <row r="106" spans="1:15" ht="12">
      <c r="A106" s="50" t="s">
        <v>191</v>
      </c>
      <c r="B106" s="50"/>
      <c r="C106" s="50"/>
      <c r="D106" s="50"/>
      <c r="E106" s="50"/>
      <c r="J106" s="57"/>
      <c r="K106" s="15"/>
      <c r="L106" s="8" t="str">
        <f>IF(ISNA(HLOOKUP($G$2,'Prior Year Amounts'!$K$32:$AK$245,69,FALSE)),"",(HLOOKUP($G$2,'Prior Year Amounts'!$K$32:$AK$245,69,FALSE)))</f>
        <v/>
      </c>
      <c r="M106" s="8" t="str">
        <f>IF(ISERR(K106-L106),"",(K106-L106))</f>
        <v/>
      </c>
      <c r="N106" s="108" t="str">
        <f>IF(ISERR(IF(M106=0,0,IF((AND(L106=0,K106&gt;0)),1,IF((AND(L106=0,K106&lt;0)),-1,M106/ABS(L106))))),"",(IF(M106=0,0,IF((AND(L106=0,K106&gt;0)),1,IF((AND(L106=0,K106&lt;0)),-1,M106/ABS(L106))))))</f>
        <v/>
      </c>
      <c r="O106" s="108" t="str">
        <f>IF(L106="","",IF(OR((ABS(M106)&gt;19800000),AND(ABS(M106)&gt;9900000,ABS(N106)&gt;0.1)),"YES","-"))</f>
        <v/>
      </c>
    </row>
    <row r="107" spans="1:15" ht="12" hidden="1">
      <c r="A107" s="50" t="s">
        <v>181</v>
      </c>
      <c r="B107" s="50"/>
      <c r="C107" s="50"/>
      <c r="D107" s="50"/>
      <c r="E107" s="50"/>
      <c r="J107" s="57"/>
      <c r="K107" s="15"/>
      <c r="L107" s="8" t="str">
        <f>IF(ISNA(HLOOKUP($G$2,'Prior Year Amounts'!$K$32:$AK$245,70,FALSE)),"",(HLOOKUP($G$2,'Prior Year Amounts'!$K$32:$AK$245,70,FALSE)))</f>
        <v/>
      </c>
      <c r="M107" s="8" t="str">
        <f>IF(ISERR(K107-L107),"",(K107-L107))</f>
        <v/>
      </c>
      <c r="N107" s="108" t="str">
        <f>IF(ISERR(IF(M107=0,0,IF((AND(L107=0,K107&gt;0)),1,IF((AND(L107=0,K107&lt;0)),-1,M107/ABS(L107))))),"",(IF(M107=0,0,IF((AND(L107=0,K107&gt;0)),1,IF((AND(L107=0,K107&lt;0)),-1,M107/ABS(L107))))))</f>
        <v/>
      </c>
      <c r="O107" s="108" t="str">
        <f t="shared" ref="O107" si="15">IF(L107="","",IF(OR((ABS(M107)&gt;20400000),AND(ABS(M107)&gt;10200000,ABS(N107)&gt;0.1)),"YES","-"))</f>
        <v/>
      </c>
    </row>
    <row r="108" spans="1:15" ht="12">
      <c r="A108" s="50" t="s">
        <v>157</v>
      </c>
      <c r="B108" s="50"/>
      <c r="C108" s="50"/>
      <c r="D108" s="50"/>
      <c r="E108" s="50"/>
      <c r="G108" s="548" t="str">
        <f>IF(K108&lt;&gt;0,"Answer Required","N/A")</f>
        <v>N/A</v>
      </c>
      <c r="H108" s="549" t="str">
        <f>IF(J108&lt;&gt;0,"Answer Required","N/A")</f>
        <v>N/A</v>
      </c>
      <c r="I108" s="550" t="str">
        <f>IF(K108&lt;&gt;0,"Answer Required","N/A")</f>
        <v>N/A</v>
      </c>
      <c r="J108" s="57"/>
      <c r="K108" s="47"/>
      <c r="L108" s="8" t="str">
        <f>IF(ISNA(HLOOKUP($G$2,'Prior Year Amounts'!$K$32:$AK$245,71,FALSE)),"",(HLOOKUP($G$2,'Prior Year Amounts'!$K$32:$AK$245,71,FALSE)))</f>
        <v/>
      </c>
      <c r="M108" s="8" t="str">
        <f>IF(ISERR(K108-L108),"",(K108-L108))</f>
        <v/>
      </c>
      <c r="N108" s="108" t="str">
        <f>IF(ISERR(IF(M108=0,0,IF((AND(L108=0,K108&gt;0)),1,IF((AND(L108=0,K108&lt;0)),-1,M108/ABS(L108))))),"",(IF(M108=0,0,IF((AND(L108=0,K108&gt;0)),1,IF((AND(L108=0,K108&lt;0)),-1,M108/ABS(L108))))))</f>
        <v/>
      </c>
      <c r="O108" s="108" t="str">
        <f>IF(L108="","",IF(OR((ABS(M108)&gt;19800000),AND(ABS(M108)&gt;9900000,ABS(N108)&gt;0.1)),"YES","-"))</f>
        <v/>
      </c>
    </row>
    <row r="109" spans="1:15" ht="12">
      <c r="A109" s="50"/>
      <c r="B109" s="51" t="s">
        <v>183</v>
      </c>
      <c r="C109" s="50"/>
      <c r="D109" s="50"/>
      <c r="E109" s="50"/>
      <c r="J109" s="57"/>
      <c r="K109" s="13">
        <f>SUM(K105:K108)</f>
        <v>0</v>
      </c>
      <c r="L109" s="13">
        <f>SUM(L105:L108)</f>
        <v>0</v>
      </c>
      <c r="M109" s="13">
        <f>K109-L109</f>
        <v>0</v>
      </c>
      <c r="N109" s="133">
        <f>IF(M109=0,0,IF((AND(L109=0,K109&gt;0)),1,IF((AND(L109=0,K109&lt;0)),-1,M109/ABS(L109))))</f>
        <v>0</v>
      </c>
      <c r="O109" s="108"/>
    </row>
    <row r="110" spans="1:15" ht="12">
      <c r="A110" s="50"/>
      <c r="B110" s="50"/>
      <c r="C110" s="50"/>
      <c r="D110" s="50"/>
      <c r="E110" s="50"/>
      <c r="J110" s="57"/>
      <c r="N110" s="108"/>
      <c r="O110" s="108"/>
    </row>
    <row r="111" spans="1:15" ht="12">
      <c r="A111" s="51" t="s">
        <v>919</v>
      </c>
      <c r="B111" s="50"/>
      <c r="C111" s="50"/>
      <c r="D111" s="50"/>
      <c r="E111" s="50"/>
      <c r="J111" s="58" t="s">
        <v>224</v>
      </c>
      <c r="K111" s="15"/>
      <c r="L111" s="8" t="str">
        <f>IF(ISNA(HLOOKUP($G$2,'Prior Year Amounts'!$K$32:$AK$245,74,FALSE)),"",(HLOOKUP($G$2,'Prior Year Amounts'!$K$32:$AK$245,74,FALSE)))</f>
        <v/>
      </c>
      <c r="M111" s="8" t="str">
        <f>IF(ISERR(K111-L111),"",(K111-L111))</f>
        <v/>
      </c>
      <c r="N111" s="108" t="str">
        <f>IF(ISERR(IF(M111=0,0,IF((AND(L111=0,K111&gt;0)),1,IF((AND(L111=0,K111&lt;0)),-1,M111/ABS(L111))))),"",(IF(M111=0,0,IF((AND(L111=0,K111&gt;0)),1,IF((AND(L111=0,K111&lt;0)),-1,M111/ABS(L111))))))</f>
        <v/>
      </c>
      <c r="O111" s="108" t="str">
        <f>IF(L111="","",IF(OR((ABS(M111)&gt;19800000),AND(ABS(M111)&gt;9900000,ABS(N111)&gt;0.1)),"YES","-"))</f>
        <v/>
      </c>
    </row>
    <row r="112" spans="1:15" ht="12">
      <c r="A112" s="50"/>
      <c r="B112" s="50"/>
      <c r="C112" s="50"/>
      <c r="D112" s="50"/>
      <c r="E112" s="50"/>
      <c r="J112" s="57"/>
      <c r="N112" s="108"/>
      <c r="O112" s="108"/>
    </row>
    <row r="113" spans="1:15" ht="12">
      <c r="A113" s="51" t="s">
        <v>184</v>
      </c>
      <c r="B113" s="50"/>
      <c r="C113" s="50"/>
      <c r="D113" s="50"/>
      <c r="E113" s="50"/>
      <c r="J113" s="58" t="s">
        <v>252</v>
      </c>
      <c r="K113" s="15"/>
      <c r="L113" s="8" t="str">
        <f>IF(ISNA(HLOOKUP($G$2,'Prior Year Amounts'!$K$32:$AK$245,76,FALSE)),"",(HLOOKUP($G$2,'Prior Year Amounts'!$K$32:$AK$245,76,FALSE)))</f>
        <v/>
      </c>
      <c r="M113" s="8" t="str">
        <f>IF(ISERR(K113-L113),"",(K113-L113))</f>
        <v/>
      </c>
      <c r="N113" s="108" t="str">
        <f>IF(ISERR(IF(M113=0,0,IF((AND(L113=0,K113&gt;0)),1,IF((AND(L113=0,K113&lt;0)),-1,M113/ABS(L113))))),"",(IF(M113=0,0,IF((AND(L113=0,K113&gt;0)),1,IF((AND(L113=0,K113&lt;0)),-1,M113/ABS(L113))))))</f>
        <v/>
      </c>
      <c r="O113" s="108" t="str">
        <f>IF(L113="","",IF(OR((ABS(M113)&gt;19800000),AND(ABS(M113)&gt;9900000,ABS(N113)&gt;0.1)),"YES","-"))</f>
        <v/>
      </c>
    </row>
    <row r="114" spans="1:15" ht="12">
      <c r="A114" s="50"/>
      <c r="B114" s="50"/>
      <c r="C114" s="50"/>
      <c r="D114" s="50"/>
      <c r="E114" s="50"/>
      <c r="J114" s="57"/>
      <c r="L114" s="8"/>
      <c r="M114" s="8"/>
      <c r="N114" s="108"/>
      <c r="O114" s="108"/>
    </row>
    <row r="115" spans="1:15" ht="12">
      <c r="A115" s="51" t="s">
        <v>849</v>
      </c>
      <c r="B115" s="50"/>
      <c r="C115" s="50"/>
      <c r="D115" s="50"/>
      <c r="E115" s="50"/>
      <c r="J115" s="58" t="s">
        <v>252</v>
      </c>
      <c r="K115" s="15"/>
      <c r="L115" s="8" t="str">
        <f>IF(ISNA(HLOOKUP($G$2,'Prior Year Amounts'!$K$32:$AK$245,78,FALSE)),"",(HLOOKUP($G$2,'Prior Year Amounts'!$K$32:$AK$245,78,FALSE)))</f>
        <v/>
      </c>
      <c r="M115" s="8" t="str">
        <f>IF(ISERR(K115-L115),"",(K115-L115))</f>
        <v/>
      </c>
      <c r="N115" s="108" t="str">
        <f>IF(ISERR(IF(M115=0,0,IF((AND(L115=0,K115&gt;0)),1,IF((AND(L115=0,K115&lt;0)),-1,M115/ABS(L115))))),"",(IF(M115=0,0,IF((AND(L115=0,K115&gt;0)),1,IF((AND(L115=0,K115&lt;0)),-1,M115/ABS(L115))))))</f>
        <v/>
      </c>
      <c r="O115" s="108" t="str">
        <f>IF(L115="","",IF(OR((ABS(M115)&gt;19800000),AND(ABS(M115)&gt;9900000,ABS(N115)&gt;0.1)),"YES","-"))</f>
        <v/>
      </c>
    </row>
    <row r="116" spans="1:15" ht="12">
      <c r="A116" s="50"/>
      <c r="B116" s="50"/>
      <c r="C116" s="50"/>
      <c r="D116" s="50"/>
      <c r="E116" s="50"/>
      <c r="J116" s="57"/>
      <c r="L116" s="8"/>
      <c r="M116" s="8"/>
      <c r="N116" s="108"/>
      <c r="O116" s="108"/>
    </row>
    <row r="117" spans="1:15" ht="12">
      <c r="A117" s="49" t="s">
        <v>192</v>
      </c>
      <c r="B117" s="50"/>
      <c r="C117" s="50"/>
      <c r="D117" s="50"/>
      <c r="E117" s="50"/>
      <c r="K117" s="13">
        <f>K48+K56+K63+K65+K67+K69+K71+K73+K80+K95+K102+K109+K111+K113+K115</f>
        <v>0</v>
      </c>
      <c r="L117" s="13" t="str">
        <f>IF(ISERR(L48+L56+L63+L65+L67+L69+L71+L73+L80+L95+L102+L109+L111+L113+L115),"",(L48+L56+L63+L65+L67+L69+L71+L73+L80+L95+L102+L109+L111+L113+L115))</f>
        <v/>
      </c>
      <c r="M117" s="13" t="str">
        <f>IF(ISERR(K117-L117),"",(K117-L117))</f>
        <v/>
      </c>
      <c r="N117" s="133" t="str">
        <f>IF(ISERR(IF(M117=0,0,IF((AND(L117=0,K117&gt;0)),1,IF((AND(L117=0,K117&lt;0)),-1,M117/ABS(L117))))),"",(IF(M117=0,0,IF((AND(L117=0,K117&gt;0)),1,IF((AND(L117=0,K117&lt;0)),-1,M117/ABS(L117))))))</f>
        <v/>
      </c>
      <c r="O117" s="108"/>
    </row>
    <row r="118" spans="1:15" ht="11.25" customHeight="1">
      <c r="A118" s="49"/>
      <c r="B118" s="50"/>
      <c r="C118" s="50"/>
      <c r="D118" s="50"/>
      <c r="E118" s="50"/>
      <c r="L118" s="8"/>
      <c r="M118" s="8"/>
      <c r="N118" s="108"/>
      <c r="O118" s="108"/>
    </row>
    <row r="119" spans="1:15" ht="12" hidden="1">
      <c r="A119" s="49" t="s">
        <v>540</v>
      </c>
      <c r="B119" s="50"/>
      <c r="C119" s="50"/>
      <c r="D119" s="50"/>
      <c r="E119" s="50"/>
      <c r="J119" s="343" t="s">
        <v>588</v>
      </c>
      <c r="K119" s="15"/>
      <c r="L119" s="8" t="str">
        <f>IF(ISNA(HLOOKUP($G$2,'Prior Year Amounts'!$K$32:$AK$245,80,FALSE)),"",(HLOOKUP($G$2,'Prior Year Amounts'!$K$32:$AK$245,80,FALSE)))</f>
        <v/>
      </c>
      <c r="M119" s="8" t="str">
        <f>IF(ISERR(K119-L119),"",(K119-L119))</f>
        <v/>
      </c>
      <c r="N119" s="108" t="str">
        <f>IF(ISERR(IF(M119=0,0,IF((AND(L119=0,K119&gt;0)),1,IF((AND(L119=0,K119&lt;0)),-1,M119/ABS(L119))))),"",(IF(M119=0,0,IF((AND(L119=0,K119&gt;0)),1,IF((AND(L119=0,K119&lt;0)),-1,M119/ABS(L119))))))</f>
        <v/>
      </c>
      <c r="O119" s="108" t="str">
        <f>IF(ISERR(IF(OR((ABS(M119)&gt;7200000),AND(ABS(M119)&gt;3600000,ABS(N119)&gt;0.1),AND(ABS(K119)=0,ABS(L119)&gt;0),AND(ABS(K119)&gt;0,ABS(L119)=0)),"YES","-")),"",(IF(OR((ABS(M119)&gt;7200000),AND(ABS(M119)&gt;3600000,ABS(N119)&gt;0.1),AND(ABS(K119)=0,ABS(L119)&gt;0),AND(ABS(K119)&gt;0,ABS(L119)=0)),"YES","-")))</f>
        <v/>
      </c>
    </row>
    <row r="120" spans="1:15" ht="12" hidden="1">
      <c r="A120" s="49"/>
      <c r="B120" s="50"/>
      <c r="C120" s="50"/>
      <c r="D120" s="50"/>
      <c r="E120" s="50"/>
      <c r="L120" s="8"/>
      <c r="M120" s="8"/>
      <c r="N120" s="108"/>
      <c r="O120" s="108"/>
    </row>
    <row r="121" spans="1:15" ht="13.5" hidden="1" customHeight="1">
      <c r="A121" s="49" t="s">
        <v>610</v>
      </c>
      <c r="B121" s="50"/>
      <c r="C121" s="50"/>
      <c r="D121" s="50"/>
      <c r="E121" s="50"/>
      <c r="K121" s="13">
        <f>SUM(K117,K119)</f>
        <v>0</v>
      </c>
      <c r="L121" s="13">
        <f>SUM(L117,L119)</f>
        <v>0</v>
      </c>
      <c r="M121" s="13">
        <f>SUM(M117,M119)</f>
        <v>0</v>
      </c>
      <c r="N121" s="133">
        <f>IF(M121=0,0,IF((AND(L121=0,K121&gt;0)),1,IF((AND(L121=0,K121&lt;0)),-1,M121/ABS(L121))))</f>
        <v>0</v>
      </c>
      <c r="O121" s="108"/>
    </row>
    <row r="122" spans="1:15" ht="12">
      <c r="A122" s="50"/>
      <c r="B122" s="50"/>
      <c r="C122" s="50"/>
      <c r="D122" s="50"/>
      <c r="E122" s="50"/>
      <c r="M122" s="8"/>
      <c r="N122" s="108"/>
      <c r="O122" s="108"/>
    </row>
    <row r="123" spans="1:15" ht="12">
      <c r="A123" s="49" t="s">
        <v>392</v>
      </c>
      <c r="B123" s="50"/>
      <c r="C123" s="50"/>
      <c r="D123" s="50"/>
      <c r="E123" s="50"/>
      <c r="G123" s="574" t="str">
        <f>G1</f>
        <v/>
      </c>
      <c r="H123" s="575"/>
      <c r="I123" s="575"/>
      <c r="J123" s="576"/>
      <c r="M123" s="8"/>
      <c r="N123" s="108"/>
      <c r="O123" s="108"/>
    </row>
    <row r="124" spans="1:15" ht="23.25" customHeight="1">
      <c r="A124" s="49" t="s">
        <v>404</v>
      </c>
      <c r="B124" s="50"/>
      <c r="C124" s="50"/>
      <c r="D124" s="50"/>
      <c r="E124" s="50"/>
      <c r="G124" s="577" t="str">
        <f>IF(G2="","",G2)</f>
        <v/>
      </c>
      <c r="H124" s="578"/>
      <c r="I124" s="578"/>
      <c r="J124" s="579"/>
      <c r="M124" s="8"/>
      <c r="N124" s="108"/>
      <c r="O124" s="108"/>
    </row>
    <row r="125" spans="1:15" ht="6.75" customHeight="1">
      <c r="A125" s="50"/>
      <c r="B125" s="50"/>
      <c r="C125" s="50"/>
      <c r="D125" s="50"/>
      <c r="E125" s="50"/>
      <c r="M125" s="8"/>
      <c r="N125" s="108"/>
      <c r="O125" s="108"/>
    </row>
    <row r="126" spans="1:15" ht="15.75" customHeight="1">
      <c r="A126" s="48" t="s">
        <v>539</v>
      </c>
      <c r="B126" s="50"/>
      <c r="C126" s="50"/>
      <c r="D126" s="50"/>
      <c r="E126" s="50"/>
      <c r="M126" s="8"/>
      <c r="N126" s="108"/>
      <c r="O126" s="571" t="s">
        <v>608</v>
      </c>
    </row>
    <row r="127" spans="1:15" ht="15.75">
      <c r="A127" s="48" t="str">
        <f>A35</f>
        <v>For the Year Ended June 30, 2024</v>
      </c>
      <c r="B127" s="50"/>
      <c r="C127" s="50"/>
      <c r="D127" s="50"/>
      <c r="E127" s="50"/>
      <c r="M127" s="8"/>
      <c r="N127" s="108"/>
      <c r="O127" s="572"/>
    </row>
    <row r="128" spans="1:15" ht="12" customHeight="1">
      <c r="A128" s="50"/>
      <c r="B128" s="50"/>
      <c r="C128" s="50"/>
      <c r="D128" s="50"/>
      <c r="E128" s="50"/>
      <c r="J128" s="44" t="s">
        <v>377</v>
      </c>
      <c r="K128" s="45"/>
      <c r="M128" s="8"/>
      <c r="N128" s="108"/>
      <c r="O128" s="572"/>
    </row>
    <row r="129" spans="1:27" ht="13.5" thickBot="1">
      <c r="A129" s="294"/>
      <c r="B129" s="240"/>
      <c r="C129" s="240"/>
      <c r="D129" s="240"/>
      <c r="E129" s="240"/>
      <c r="F129" s="105"/>
      <c r="G129" s="554" t="s">
        <v>215</v>
      </c>
      <c r="H129" s="554"/>
      <c r="I129" s="555"/>
      <c r="J129" s="315" t="s">
        <v>463</v>
      </c>
      <c r="K129" s="46" t="str">
        <f>K37</f>
        <v>Amount</v>
      </c>
      <c r="L129" s="46" t="str">
        <f>L37</f>
        <v>Prior Year</v>
      </c>
      <c r="M129" s="46" t="str">
        <f>M37</f>
        <v>Variance $</v>
      </c>
      <c r="N129" s="46" t="str">
        <f>N37</f>
        <v>Variance %</v>
      </c>
      <c r="O129" s="573"/>
    </row>
    <row r="130" spans="1:27" ht="12">
      <c r="A130" s="49"/>
      <c r="B130" s="50"/>
      <c r="C130" s="50"/>
      <c r="D130" s="50"/>
      <c r="E130" s="50"/>
      <c r="M130" s="8"/>
      <c r="N130" s="108"/>
      <c r="O130" s="108"/>
    </row>
    <row r="131" spans="1:27" ht="12">
      <c r="A131" s="49" t="s">
        <v>194</v>
      </c>
      <c r="B131" s="50"/>
      <c r="C131" s="50"/>
      <c r="D131" s="50"/>
      <c r="E131" s="50"/>
      <c r="M131" s="8"/>
      <c r="N131" s="108"/>
      <c r="O131" s="108"/>
    </row>
    <row r="132" spans="1:27" ht="12">
      <c r="A132" s="50" t="s">
        <v>460</v>
      </c>
      <c r="B132" s="50"/>
      <c r="C132" s="50"/>
      <c r="D132" s="50"/>
      <c r="E132" s="50"/>
      <c r="K132" s="15"/>
      <c r="L132" s="8" t="str">
        <f>IF(ISNA(HLOOKUP($G$2,'Prior Year Amounts'!$K$32:$AK$245,94,FALSE)),"",(HLOOKUP($G$2,'Prior Year Amounts'!$K$32:$AK$245,94,FALSE)))</f>
        <v/>
      </c>
      <c r="M132" s="8" t="str">
        <f>IF(ISERR(K132-L132),"",(K132-L132))</f>
        <v/>
      </c>
      <c r="N132" s="108" t="str">
        <f>IF(ISERR(IF(M132=0,0,IF((AND(L132=0,K132&gt;0)),1,IF((AND(L132=0,K132&lt;0)),-1,M132/ABS(L132))))),"",(IF(M132=0,0,IF((AND(L132=0,K132&gt;0)),1,IF((AND(L132=0,K132&lt;0)),-1,M132/ABS(L132))))))</f>
        <v/>
      </c>
      <c r="O132" s="108" t="str">
        <f>IF(L132="","",IF(OR((ABS(M132)&gt;19800000),AND(ABS(M132)&gt;9900000,ABS(N132)&gt;0.1)),"YES","-"))</f>
        <v/>
      </c>
    </row>
    <row r="133" spans="1:27" ht="12">
      <c r="A133" s="50" t="s">
        <v>66</v>
      </c>
      <c r="B133" s="50"/>
      <c r="C133" s="50"/>
      <c r="D133" s="50"/>
      <c r="E133" s="50"/>
      <c r="K133" s="15"/>
      <c r="L133" s="8" t="str">
        <f>IF(ISNA(HLOOKUP($G$2,'Prior Year Amounts'!$K$32:$AK$245,95,FALSE)),"",(HLOOKUP($G$2,'Prior Year Amounts'!$K$32:$AK$245,95,FALSE)))</f>
        <v/>
      </c>
      <c r="M133" s="8" t="str">
        <f>IF(ISERR(K133-L133),"",(K133-L133))</f>
        <v/>
      </c>
      <c r="N133" s="108" t="str">
        <f>IF(ISERR(IF(M133=0,0,IF((AND(L133=0,K133&gt;0)),1,IF((AND(L133=0,K133&lt;0)),-1,M133/ABS(L133))))),"",(IF(M133=0,0,IF((AND(L133=0,K133&gt;0)),1,IF((AND(L133=0,K133&lt;0)),-1,M133/ABS(L133))))))</f>
        <v/>
      </c>
      <c r="O133" s="108" t="str">
        <f>IF(L133="","",IF(OR((ABS(M133)&gt;19800000),AND(ABS(M133)&gt;9900000,ABS(N133)&gt;0.1)),"YES","-"))</f>
        <v/>
      </c>
    </row>
    <row r="134" spans="1:27" ht="12">
      <c r="A134" s="50" t="s">
        <v>409</v>
      </c>
      <c r="B134" s="50"/>
      <c r="C134" s="50"/>
      <c r="D134" s="50"/>
      <c r="E134" s="50"/>
      <c r="K134" s="15"/>
      <c r="L134" s="8" t="str">
        <f>IF(ISNA(HLOOKUP($G$2,'Prior Year Amounts'!$K$32:$AK$245,96,FALSE)),"",(HLOOKUP($G$2,'Prior Year Amounts'!$K$32:$AK$245,96,FALSE)))</f>
        <v/>
      </c>
      <c r="M134" s="8" t="str">
        <f>IF(ISERR(K134-L134),"",(K134-L134))</f>
        <v/>
      </c>
      <c r="N134" s="108" t="str">
        <f>IF(ISERR(IF(M134=0,0,IF((AND(L134=0,K134&gt;0)),1,IF((AND(L134=0,K134&lt;0)),-1,M134/ABS(L134))))),"",(IF(M134=0,0,IF((AND(L134=0,K134&gt;0)),1,IF((AND(L134=0,K134&lt;0)),-1,M134/ABS(L134))))))</f>
        <v/>
      </c>
      <c r="O134" s="108" t="str">
        <f>IF(L134="","",IF(OR((ABS(M134)&gt;19800000),AND(ABS(M134)&gt;9900000,ABS(N134)&gt;0.1)),"YES","-"))</f>
        <v/>
      </c>
    </row>
    <row r="135" spans="1:27" ht="12">
      <c r="A135" s="53" t="s">
        <v>158</v>
      </c>
      <c r="B135" s="50"/>
      <c r="C135" s="50"/>
      <c r="D135" s="50"/>
      <c r="E135" s="50"/>
      <c r="F135" s="150"/>
      <c r="G135" s="548" t="str">
        <f>IF(K135&lt;&gt;0,"Answer Required","N/A")</f>
        <v>N/A</v>
      </c>
      <c r="H135" s="549" t="str">
        <f>IF(J135&lt;&gt;0,"Answer Required","N/A")</f>
        <v>N/A</v>
      </c>
      <c r="I135" s="550" t="str">
        <f>IF(K135&lt;&gt;0,"Answer Required","N/A")</f>
        <v>N/A</v>
      </c>
      <c r="K135" s="47"/>
      <c r="L135" s="8" t="str">
        <f>IF(ISNA(HLOOKUP($G$2,'Prior Year Amounts'!$K$32:$AK$245,97,FALSE)),"",(HLOOKUP($G$2,'Prior Year Amounts'!$K$32:$AK$245,97,FALSE)))</f>
        <v/>
      </c>
      <c r="M135" s="8" t="str">
        <f>IF(ISERR(K135-L135),"",(K135-L135))</f>
        <v/>
      </c>
      <c r="N135" s="108" t="str">
        <f>IF(ISERR(IF(M135=0,0,IF((AND(L135=0,K135&gt;0)),1,IF((AND(L135=0,K135&lt;0)),-1,M135/ABS(L135))))),"",(IF(M135=0,0,IF((AND(L135=0,K135&gt;0)),1,IF((AND(L135=0,K135&lt;0)),-1,M135/ABS(L135))))))</f>
        <v/>
      </c>
      <c r="O135" s="108" t="str">
        <f>IF(L135="","",IF(OR((ABS(M135)&gt;19800000),AND(ABS(M135)&gt;9900000,ABS(N135)&gt;0.1)),"YES","-"))</f>
        <v/>
      </c>
    </row>
    <row r="136" spans="1:27" ht="12">
      <c r="A136" s="50"/>
      <c r="B136" s="51" t="s">
        <v>195</v>
      </c>
      <c r="C136" s="50"/>
      <c r="D136" s="50"/>
      <c r="E136" s="50"/>
      <c r="J136" s="58"/>
      <c r="K136" s="13">
        <f>SUM(K132:K135)</f>
        <v>0</v>
      </c>
      <c r="L136" s="13">
        <f>SUM(L132:L135)</f>
        <v>0</v>
      </c>
      <c r="M136" s="13">
        <f>K136-L136</f>
        <v>0</v>
      </c>
      <c r="N136" s="133">
        <f>IF(ISERR(IF(M136=0,0,IF((AND(L136=0,K136&gt;0)),1,IF((AND(L136=0,K136&lt;0)),-1,M136/ABS(L136))))),"",(IF(M136=0,0,IF((AND(L136=0,K136&gt;0)),1,IF((AND(L136=0,K136&lt;0)),-1,M136/ABS(L136))))))</f>
        <v>0</v>
      </c>
      <c r="O136" s="108"/>
    </row>
    <row r="137" spans="1:27" customFormat="1" ht="12.75"/>
    <row r="138" spans="1:27" s="387" customFormat="1" ht="12">
      <c r="A138" s="470" t="s">
        <v>915</v>
      </c>
      <c r="B138" s="470"/>
      <c r="C138" s="470"/>
      <c r="D138" s="470"/>
      <c r="E138" s="470"/>
      <c r="G138" s="553"/>
      <c r="H138" s="553"/>
      <c r="I138" s="553"/>
      <c r="J138" s="471"/>
      <c r="K138" s="15"/>
      <c r="L138" s="8" t="str">
        <f>IF(ISNA(HLOOKUP($G$2,'Prior Year Amounts'!$K$32:$AK$245,99,FALSE)),"",(HLOOKUP($G$2,'Prior Year Amounts'!$K$32:$AK$245,99,FALSE)))</f>
        <v/>
      </c>
      <c r="M138" s="8" t="str">
        <f>IF(ISERR(K138-L138),"",(K138-L138))</f>
        <v/>
      </c>
      <c r="N138" s="108" t="str">
        <f>IF(ISERR(IF(M138=0,0,IF((AND(L138=0,K138&gt;0)),1,IF((AND(L138=0,K138&lt;0)),-1,M138/ABS(L138))))),"",(IF(M138=0,0,IF((AND(L138=0,K138&gt;0)),1,IF((AND(L138=0,K138&lt;0)),-1,M138/ABS(L138))))))</f>
        <v/>
      </c>
      <c r="O138" s="108" t="str">
        <f>IF(L138="","",IF(OR((ABS(M138)&gt;19800000),AND(ABS(M138)&gt;9900000,ABS(N138)&gt;0.1)),"YES","-"))</f>
        <v/>
      </c>
      <c r="AA138" s="472"/>
    </row>
    <row r="139" spans="1:27" ht="12">
      <c r="A139" s="51" t="s">
        <v>664</v>
      </c>
      <c r="B139" s="54"/>
      <c r="C139" s="50"/>
      <c r="D139" s="50"/>
      <c r="E139" s="50"/>
      <c r="F139" s="150"/>
      <c r="G139" s="548" t="str">
        <f>IF(K139&lt;&gt;0,"Answer Required","N/A")</f>
        <v>N/A</v>
      </c>
      <c r="H139" s="549" t="str">
        <f t="shared" ref="H139:I140" si="16">IF(J139&lt;&gt;0,"Answer Required","N/A")</f>
        <v>Answer Required</v>
      </c>
      <c r="I139" s="550" t="str">
        <f t="shared" si="16"/>
        <v>N/A</v>
      </c>
      <c r="J139" s="58" t="s">
        <v>921</v>
      </c>
      <c r="K139" s="15"/>
      <c r="L139" s="8" t="str">
        <f>IF(ISNA(HLOOKUP($G$2,'Prior Year Amounts'!$K$32:$AK$245,100,FALSE)),"",(HLOOKUP($G$2,'Prior Year Amounts'!$K$32:$AK$245,100,FALSE)))</f>
        <v/>
      </c>
      <c r="M139" s="8" t="str">
        <f>IF(ISERR(K139-L139),"",(K139-L139))</f>
        <v/>
      </c>
      <c r="N139" s="108" t="str">
        <f>IF(ISERR(IF(M139=0,0,IF((AND(L139=0,K139&gt;0)),1,IF((AND(L139=0,K139&lt;0)),-1,M139/ABS(L139))))),"",(IF(M139=0,0,IF((AND(L139=0,K139&gt;0)),1,IF((AND(L139=0,K139&lt;0)),-1,M139/ABS(L139))))))</f>
        <v/>
      </c>
      <c r="O139" s="108" t="str">
        <f>IF(L139="","",IF(OR((ABS(M139)&gt;19800000),AND(ABS(M139)&gt;9900000,ABS(N139)&gt;0.1)),"YES","-"))</f>
        <v/>
      </c>
    </row>
    <row r="140" spans="1:27" ht="12">
      <c r="A140" s="51" t="s">
        <v>709</v>
      </c>
      <c r="B140" s="50"/>
      <c r="C140" s="50"/>
      <c r="D140" s="50"/>
      <c r="E140" s="50"/>
      <c r="G140" s="548" t="str">
        <f>IF(K140&lt;&gt;0,"Answer Required","N/A")</f>
        <v>N/A</v>
      </c>
      <c r="H140" s="549" t="str">
        <f t="shared" si="16"/>
        <v>Answer Required</v>
      </c>
      <c r="I140" s="550" t="str">
        <f t="shared" si="16"/>
        <v>N/A</v>
      </c>
      <c r="J140" s="58" t="s">
        <v>921</v>
      </c>
      <c r="K140" s="264"/>
      <c r="L140" s="8" t="str">
        <f>IF(ISNA(HLOOKUP($G$2,'Prior Year Amounts'!$K$32:$AK$245,101,FALSE)),"",(HLOOKUP($G$2,'Prior Year Amounts'!$K$32:$AK$245,101,FALSE)))</f>
        <v/>
      </c>
      <c r="M140" s="8" t="str">
        <f>IF(ISERR(K140-L140),"",(K140-L140))</f>
        <v/>
      </c>
      <c r="N140" s="108" t="str">
        <f>IF(ISERR(IF(M140=0,0,IF((AND(L140=0,K140&gt;0)),1,IF((AND(L140=0,K140&lt;0)),-1,M140/ABS(L140))))),"",(IF(M140=0,0,IF((AND(L140=0,K140&gt;0)),1,IF((AND(L140=0,K140&lt;0)),-1,M140/ABS(L140))))))</f>
        <v/>
      </c>
      <c r="O140" s="108" t="str">
        <f>IF(L140="","",IF(OR((ABS(M140)&gt;19800000),AND(ABS(M140)&gt;9900000,ABS(N140)&gt;0.1)),"YES","-"))</f>
        <v/>
      </c>
    </row>
    <row r="141" spans="1:27" ht="12">
      <c r="A141" s="50" t="s">
        <v>61</v>
      </c>
      <c r="B141" s="50"/>
      <c r="C141" s="50"/>
      <c r="D141" s="50"/>
      <c r="E141" s="50"/>
      <c r="K141" s="15"/>
      <c r="L141" s="8" t="str">
        <f>IF(ISNA(HLOOKUP($G$2,'Prior Year Amounts'!$K$32:$AK$245,102,FALSE)),"",(HLOOKUP($G$2,'Prior Year Amounts'!$K$32:$AK$245,102,FALSE)))</f>
        <v/>
      </c>
      <c r="M141" s="8" t="str">
        <f>IF(ISERR(K141-L141),"",(K141-L141))</f>
        <v/>
      </c>
      <c r="N141" s="108" t="str">
        <f>IF(ISERR(IF(M141=0,0,IF((AND(L141=0,K141&gt;0)),1,IF((AND(L141=0,K141&lt;0)),-1,M141/ABS(L141))))),"",(IF(M141=0,0,IF((AND(L141=0,K141&gt;0)),1,IF((AND(L141=0,K141&lt;0)),-1,M141/ABS(L141))))))</f>
        <v/>
      </c>
      <c r="O141" s="108" t="str">
        <f>IF(L141="","",IF(OR((ABS(M141)&gt;19800000),AND(ABS(M141)&gt;9900000,ABS(N141)&gt;0.1)),"YES","-"))</f>
        <v/>
      </c>
    </row>
    <row r="142" spans="1:27" ht="12">
      <c r="A142" s="50"/>
      <c r="B142" s="50"/>
      <c r="C142" s="50"/>
      <c r="D142" s="50"/>
      <c r="E142" s="50"/>
      <c r="J142" s="57"/>
      <c r="L142" s="8"/>
      <c r="M142" s="8"/>
      <c r="N142" s="108"/>
      <c r="O142" s="108"/>
    </row>
    <row r="143" spans="1:27" ht="12">
      <c r="A143" s="51" t="s">
        <v>185</v>
      </c>
      <c r="B143" s="50"/>
      <c r="C143" s="50"/>
      <c r="D143" s="50"/>
      <c r="E143" s="50"/>
      <c r="J143" s="57"/>
      <c r="K143" s="15"/>
      <c r="L143" s="8" t="str">
        <f>IF(ISNA(HLOOKUP($G$2,'Prior Year Amounts'!$K$32:$AK$245,104,FALSE)),"",(HLOOKUP($G$2,'Prior Year Amounts'!$K$32:$AK$245,104,FALSE)))</f>
        <v/>
      </c>
      <c r="M143" s="8" t="str">
        <f>IF(ISERR(K143-L143),"",(K143-L143))</f>
        <v/>
      </c>
      <c r="N143" s="108" t="str">
        <f>IF(ISERR(IF(M143=0,0,IF((AND(L143=0,K143&gt;0)),1,IF((AND(L143=0,K143&lt;0)),-1,M143/ABS(L143))))),"",(IF(M143=0,0,IF((AND(L143=0,K143&gt;0)),1,IF((AND(L143=0,K143&lt;0)),-1,M143/ABS(L143))))))</f>
        <v/>
      </c>
      <c r="O143" s="108" t="str">
        <f>IF(L143="","",IF(OR((ABS(M143)&gt;19800000),AND(ABS(M143)&gt;9900000,ABS(N143)&gt;0.1)),"YES","-"))</f>
        <v/>
      </c>
    </row>
    <row r="144" spans="1:27" ht="12" hidden="1">
      <c r="A144" s="50"/>
      <c r="B144" s="50"/>
      <c r="C144" s="50"/>
      <c r="D144" s="50"/>
      <c r="E144" s="50"/>
      <c r="J144" s="57"/>
      <c r="L144" s="8"/>
      <c r="M144" s="8">
        <f>K144-L144</f>
        <v>0</v>
      </c>
      <c r="N144" s="108" t="str">
        <f>IF(M144=0,"0%",M144/ABS(L144))</f>
        <v>0%</v>
      </c>
      <c r="O144" s="108"/>
    </row>
    <row r="145" spans="1:15" ht="12">
      <c r="A145" s="50"/>
      <c r="B145" s="50"/>
      <c r="C145" s="50"/>
      <c r="D145" s="50"/>
      <c r="E145" s="50"/>
      <c r="J145" s="57"/>
      <c r="L145" s="8"/>
      <c r="M145" s="8"/>
      <c r="N145" s="108"/>
      <c r="O145" s="108"/>
    </row>
    <row r="146" spans="1:15" ht="12">
      <c r="A146" s="50" t="s">
        <v>197</v>
      </c>
      <c r="B146" s="50"/>
      <c r="C146" s="50"/>
      <c r="D146" s="50"/>
      <c r="E146" s="50"/>
      <c r="J146" s="57"/>
      <c r="K146" s="15"/>
      <c r="L146" s="8" t="str">
        <f>IF(ISNA(HLOOKUP($G$2,'Prior Year Amounts'!$K$32:$AK$245,107,FALSE)),"",(HLOOKUP($G$2,'Prior Year Amounts'!$K$32:$AK$245,107,FALSE)))</f>
        <v/>
      </c>
      <c r="M146" s="8" t="str">
        <f>IF(ISERR(K146-L146),"",(K146-L146))</f>
        <v/>
      </c>
      <c r="N146" s="108" t="str">
        <f t="shared" ref="N146:N151" si="17">IF(ISERR(IF(M146=0,0,IF((AND(L146=0,K146&gt;0)),1,IF((AND(L146=0,K146&lt;0)),-1,M146/ABS(L146))))),"",(IF(M146=0,0,IF((AND(L146=0,K146&gt;0)),1,IF((AND(L146=0,K146&lt;0)),-1,M146/ABS(L146))))))</f>
        <v/>
      </c>
      <c r="O146" s="108" t="str">
        <f>IF(L146="","",IF(OR((ABS(M146)&gt;19800000),AND(ABS(M146)&gt;9900000,ABS(N146)&gt;0.1)),"YES","-"))</f>
        <v/>
      </c>
    </row>
    <row r="147" spans="1:15" ht="12">
      <c r="A147" s="50" t="s">
        <v>159</v>
      </c>
      <c r="B147" s="50"/>
      <c r="C147" s="50"/>
      <c r="D147" s="50"/>
      <c r="E147" s="50"/>
      <c r="G147" s="548" t="str">
        <f>IF(K147&lt;&gt;0,"Answer Required","N/A")</f>
        <v>N/A</v>
      </c>
      <c r="H147" s="549" t="str">
        <f>IF(J147&lt;&gt;0,"Answer Required","N/A")</f>
        <v>N/A</v>
      </c>
      <c r="I147" s="550" t="str">
        <f>IF(K147&lt;&gt;0,"Answer Required","N/A")</f>
        <v>N/A</v>
      </c>
      <c r="J147" s="57"/>
      <c r="K147" s="15"/>
      <c r="L147" s="8" t="str">
        <f>IF(ISNA(HLOOKUP($G$2,'Prior Year Amounts'!$K$32:$AK$245,108,FALSE)),"",(HLOOKUP($G$2,'Prior Year Amounts'!$K$32:$AK$245,108,FALSE)))</f>
        <v/>
      </c>
      <c r="M147" s="8" t="str">
        <f>IF(ISERR(K147-L147),"",(K147-L147))</f>
        <v/>
      </c>
      <c r="N147" s="108" t="str">
        <f t="shared" si="17"/>
        <v/>
      </c>
      <c r="O147" s="108" t="str">
        <f>IF(L147="","",IF(OR((ABS(M147)&gt;19800000),AND(ABS(M147)&gt;9900000,ABS(N147)&gt;0.1)),"YES","-"))</f>
        <v/>
      </c>
    </row>
    <row r="148" spans="1:15" ht="12">
      <c r="A148" s="50" t="s">
        <v>175</v>
      </c>
      <c r="B148" s="50"/>
      <c r="C148" s="50"/>
      <c r="D148" s="50"/>
      <c r="E148" s="50"/>
      <c r="J148" s="57"/>
      <c r="K148" s="15"/>
      <c r="L148" s="8" t="str">
        <f>IF(ISNA(HLOOKUP($G$2,'Prior Year Amounts'!$K$32:$AK$245,109,FALSE)),"",(HLOOKUP($G$2,'Prior Year Amounts'!$K$32:$AK$245,109,FALSE)))</f>
        <v/>
      </c>
      <c r="M148" s="8" t="str">
        <f>IF(ISERR(K148-L148),"",(K148-L148))</f>
        <v/>
      </c>
      <c r="N148" s="108" t="str">
        <f t="shared" si="17"/>
        <v/>
      </c>
      <c r="O148" s="108" t="str">
        <f>IF(L148="","",IF(OR((ABS(M148)&gt;19800000),AND(ABS(M148)&gt;9900000,ABS(N148)&gt;0.1)),"YES","-"))</f>
        <v/>
      </c>
    </row>
    <row r="149" spans="1:15" ht="12">
      <c r="A149" s="50" t="s">
        <v>68</v>
      </c>
      <c r="B149" s="50"/>
      <c r="C149" s="50"/>
      <c r="D149" s="50"/>
      <c r="E149" s="50"/>
      <c r="J149" s="58" t="s">
        <v>642</v>
      </c>
      <c r="K149" s="15"/>
      <c r="L149" s="8" t="str">
        <f>IF(ISNA(HLOOKUP($G$2,'Prior Year Amounts'!$K$32:$AK$245,110,FALSE)),"",(HLOOKUP($G$2,'Prior Year Amounts'!$K$32:$AK$245,110,FALSE)))</f>
        <v/>
      </c>
      <c r="M149" s="8" t="str">
        <f>IF(ISERR(K149-L149),"",(K149-L149))</f>
        <v/>
      </c>
      <c r="N149" s="108" t="str">
        <f t="shared" si="17"/>
        <v/>
      </c>
      <c r="O149" s="108" t="str">
        <f>IF(L149="","",IF(OR((ABS(M149)&gt;19800000),AND(ABS(M149)&gt;9900000,ABS(N149)&gt;0.1)),"YES","-"))</f>
        <v/>
      </c>
    </row>
    <row r="150" spans="1:15" ht="12">
      <c r="A150" s="50" t="s">
        <v>199</v>
      </c>
      <c r="B150" s="50"/>
      <c r="C150" s="50"/>
      <c r="D150" s="50"/>
      <c r="E150" s="50"/>
      <c r="J150" s="57"/>
      <c r="K150" s="47"/>
      <c r="L150" s="8" t="str">
        <f>IF(ISNA(HLOOKUP($G$2,'Prior Year Amounts'!$K$32:$AK$245,111,FALSE)),"",(HLOOKUP($G$2,'Prior Year Amounts'!$K$32:$AK$245,111,FALSE)))</f>
        <v/>
      </c>
      <c r="M150" s="8" t="str">
        <f>IF(ISERR(K150-L150),"",(K150-L150))</f>
        <v/>
      </c>
      <c r="N150" s="108" t="str">
        <f t="shared" si="17"/>
        <v/>
      </c>
      <c r="O150" s="108" t="str">
        <f>IF(L150="","",IF(OR((ABS(M150)&gt;19800000),AND(ABS(M150)&gt;9900000,ABS(N150)&gt;0.1)),"YES","-"))</f>
        <v/>
      </c>
    </row>
    <row r="151" spans="1:15" ht="12">
      <c r="A151" s="51"/>
      <c r="B151" s="51" t="s">
        <v>58</v>
      </c>
      <c r="C151" s="50"/>
      <c r="D151" s="50"/>
      <c r="E151" s="50"/>
      <c r="J151" s="58"/>
      <c r="K151" s="13">
        <f>SUM(K146:K150)</f>
        <v>0</v>
      </c>
      <c r="L151" s="13">
        <f>SUM(L146:L150)</f>
        <v>0</v>
      </c>
      <c r="M151" s="13">
        <f>K151-L151</f>
        <v>0</v>
      </c>
      <c r="N151" s="133">
        <f t="shared" si="17"/>
        <v>0</v>
      </c>
      <c r="O151" s="108"/>
    </row>
    <row r="152" spans="1:15" ht="12">
      <c r="A152" s="50"/>
      <c r="B152" s="50"/>
      <c r="C152" s="50"/>
      <c r="D152" s="50"/>
      <c r="E152" s="50"/>
      <c r="J152" s="57"/>
      <c r="L152" s="8"/>
      <c r="M152" s="8"/>
      <c r="N152" s="108"/>
      <c r="O152" s="108"/>
    </row>
    <row r="153" spans="1:15" ht="12">
      <c r="A153" s="51" t="s">
        <v>186</v>
      </c>
      <c r="B153" s="50"/>
      <c r="C153" s="50"/>
      <c r="D153" s="50"/>
      <c r="E153" s="50"/>
      <c r="J153" s="57"/>
      <c r="K153" s="15"/>
      <c r="L153" s="8" t="str">
        <f>IF(ISNA(HLOOKUP($G$2,'Prior Year Amounts'!$K$32:$AK$245,114,FALSE)),"",(HLOOKUP($G$2,'Prior Year Amounts'!$K$32:$AK$245,114,FALSE)))</f>
        <v/>
      </c>
      <c r="M153" s="8" t="str">
        <f>IF(ISERR(K153-L153),"",(K153-L153))</f>
        <v/>
      </c>
      <c r="N153" s="108" t="str">
        <f>IF(ISERR(IF(M153=0,0,IF((AND(L153=0,K153&gt;0)),1,IF((AND(L153=0,K153&lt;0)),-1,M153/ABS(L153))))),"",(IF(M153=0,0,IF((AND(L153=0,K153&gt;0)),1,IF((AND(L153=0,K153&lt;0)),-1,M153/ABS(L153))))))</f>
        <v/>
      </c>
      <c r="O153" s="108" t="str">
        <f>IF(L153="","",IF(OR((ABS(M153)&gt;19800000),AND(ABS(M153)&gt;9900000,ABS(N153)&gt;0.1)),"YES","-"))</f>
        <v/>
      </c>
    </row>
    <row r="154" spans="1:15" ht="12">
      <c r="A154" s="50"/>
      <c r="B154" s="50"/>
      <c r="C154" s="50"/>
      <c r="D154" s="50"/>
      <c r="E154" s="50"/>
      <c r="J154" s="57"/>
      <c r="L154" s="8"/>
      <c r="M154" s="8"/>
      <c r="N154" s="108"/>
      <c r="O154" s="108"/>
    </row>
    <row r="155" spans="1:15" ht="12" hidden="1">
      <c r="A155" s="50"/>
      <c r="B155" s="50"/>
      <c r="C155" s="50"/>
      <c r="D155" s="50"/>
      <c r="E155" s="50"/>
      <c r="J155" s="57"/>
      <c r="L155" s="8"/>
      <c r="M155" s="8">
        <f>K155-L155</f>
        <v>0</v>
      </c>
      <c r="N155" s="108" t="str">
        <f>IF(M155=0,"0%",M155/ABS(L155))</f>
        <v>0%</v>
      </c>
      <c r="O155" s="108"/>
    </row>
    <row r="156" spans="1:15" ht="12">
      <c r="A156" s="55" t="s">
        <v>133</v>
      </c>
      <c r="B156" s="50"/>
      <c r="C156" s="50"/>
      <c r="D156" s="50"/>
      <c r="E156" s="50"/>
      <c r="J156" s="58" t="s">
        <v>69</v>
      </c>
      <c r="K156" s="15"/>
      <c r="L156" s="8" t="str">
        <f>IF(ISNA(HLOOKUP($G$2,'Prior Year Amounts'!$K$32:$AK$245,117,FALSE)),"",(HLOOKUP($G$2,'Prior Year Amounts'!$K$32:$AK$245,117,FALSE)))</f>
        <v/>
      </c>
      <c r="M156" s="8" t="str">
        <f t="shared" ref="M156:M165" si="18">IF(ISERR(K156-L156),"",(K156-L156))</f>
        <v/>
      </c>
      <c r="N156" s="108" t="str">
        <f t="shared" ref="N156:N166" si="19">IF(ISERR(IF(M156=0,0,IF((AND(L156=0,K156&gt;0)),1,IF((AND(L156=0,K156&lt;0)),-1,M156/ABS(L156))))),"",(IF(M156=0,0,IF((AND(L156=0,K156&gt;0)),1,IF((AND(L156=0,K156&lt;0)),-1,M156/ABS(L156))))))</f>
        <v/>
      </c>
      <c r="O156" s="108" t="str">
        <f>IF(L156="","",IF(OR((ABS(M156)&gt;19800000),AND(ABS(M156)&gt;9900000,ABS(N156)&gt;0.1)),"YES","-"))</f>
        <v/>
      </c>
    </row>
    <row r="157" spans="1:15" ht="12">
      <c r="A157" s="56" t="s">
        <v>132</v>
      </c>
      <c r="B157" s="50"/>
      <c r="C157" s="50"/>
      <c r="D157" s="50"/>
      <c r="E157" s="50"/>
      <c r="J157" s="58" t="s">
        <v>70</v>
      </c>
      <c r="K157" s="15"/>
      <c r="L157" s="8" t="str">
        <f>IF(ISNA(HLOOKUP($G$2,'Prior Year Amounts'!$K$32:$AK$245,118,FALSE)),"",(HLOOKUP($G$2,'Prior Year Amounts'!$K$32:$AK$245,118,FALSE)))</f>
        <v/>
      </c>
      <c r="M157" s="8" t="str">
        <f t="shared" si="18"/>
        <v/>
      </c>
      <c r="N157" s="108" t="str">
        <f t="shared" si="19"/>
        <v/>
      </c>
      <c r="O157" s="108" t="str">
        <f>IF(L157="","",IF(OR((ABS(M157)&gt;19800000),AND(ABS(M157)&gt;9900000,ABS(N157)&gt;0.1)),"YES","-"))</f>
        <v/>
      </c>
    </row>
    <row r="158" spans="1:15" ht="12" hidden="1">
      <c r="A158" s="56" t="s">
        <v>134</v>
      </c>
      <c r="B158" s="50"/>
      <c r="C158" s="50"/>
      <c r="D158" s="50"/>
      <c r="E158" s="50"/>
      <c r="J158" s="58"/>
      <c r="K158" s="15"/>
      <c r="L158" s="8"/>
      <c r="M158" s="8"/>
      <c r="N158" s="108"/>
      <c r="O158" s="108"/>
    </row>
    <row r="159" spans="1:15" ht="12">
      <c r="A159" s="55" t="s">
        <v>135</v>
      </c>
      <c r="B159" s="50"/>
      <c r="C159" s="50"/>
      <c r="D159" s="50"/>
      <c r="E159" s="50"/>
      <c r="J159" s="58" t="s">
        <v>71</v>
      </c>
      <c r="K159" s="15"/>
      <c r="L159" s="8" t="str">
        <f>IF(ISNA(HLOOKUP($G$2,'Prior Year Amounts'!$K$32:$AK$245,120,FALSE)),"",(HLOOKUP($G$2,'Prior Year Amounts'!$K$32:$AK$245,120,FALSE)))</f>
        <v/>
      </c>
      <c r="M159" s="8" t="str">
        <f t="shared" si="18"/>
        <v/>
      </c>
      <c r="N159" s="108" t="str">
        <f t="shared" si="19"/>
        <v/>
      </c>
      <c r="O159" s="108" t="str">
        <f>IF(L159="","",IF(OR((ABS(M159)&gt;19800000),AND(ABS(M159)&gt;9900000,ABS(N159)&gt;0.1)),"YES","-"))</f>
        <v/>
      </c>
    </row>
    <row r="160" spans="1:15" ht="12">
      <c r="A160" s="55" t="s">
        <v>136</v>
      </c>
      <c r="B160" s="50"/>
      <c r="C160" s="50"/>
      <c r="D160" s="50"/>
      <c r="E160" s="50"/>
      <c r="J160" s="58" t="s">
        <v>73</v>
      </c>
      <c r="K160" s="15"/>
      <c r="L160" s="8" t="str">
        <f>IF(ISNA(HLOOKUP($G$2,'Prior Year Amounts'!$K$32:$AK$245,121,FALSE)),"",(HLOOKUP($G$2,'Prior Year Amounts'!$K$32:$AK$245,121,FALSE)))</f>
        <v/>
      </c>
      <c r="M160" s="8" t="str">
        <f t="shared" si="18"/>
        <v/>
      </c>
      <c r="N160" s="108" t="str">
        <f t="shared" si="19"/>
        <v/>
      </c>
      <c r="O160" s="108" t="str">
        <f>IF(L160="","",IF(OR((ABS(M160)&gt;19800000),AND(ABS(M160)&gt;9900000,ABS(N160)&gt;0.1)),"YES","-"))</f>
        <v/>
      </c>
    </row>
    <row r="161" spans="1:15" ht="12">
      <c r="A161" s="55" t="s">
        <v>394</v>
      </c>
      <c r="B161" s="50"/>
      <c r="C161" s="50"/>
      <c r="D161" s="50"/>
      <c r="E161" s="50"/>
      <c r="J161" s="58" t="s">
        <v>73</v>
      </c>
      <c r="K161" s="15"/>
      <c r="L161" s="8" t="str">
        <f>IF(ISNA(HLOOKUP($G$2,'Prior Year Amounts'!$K$32:$AK$245,124,FALSE)),"",(HLOOKUP($G$2,'Prior Year Amounts'!$K$32:$AK$245,124,FALSE)))</f>
        <v/>
      </c>
      <c r="M161" s="8" t="str">
        <f t="shared" si="18"/>
        <v/>
      </c>
      <c r="N161" s="108" t="str">
        <f t="shared" si="19"/>
        <v/>
      </c>
      <c r="O161" s="108" t="str">
        <f>IF(L161="","",IF(OR((ABS(M161)&gt;19800000),AND(ABS(M161)&gt;9900000,ABS(N161)&gt;0.1)),"YES","-"))</f>
        <v/>
      </c>
    </row>
    <row r="162" spans="1:15" ht="12" hidden="1">
      <c r="A162" s="55" t="s">
        <v>812</v>
      </c>
      <c r="B162" s="335"/>
      <c r="C162" s="335"/>
      <c r="D162" s="335"/>
      <c r="E162" s="335"/>
      <c r="F162" s="421"/>
      <c r="G162" s="421"/>
      <c r="H162" s="421"/>
      <c r="I162" s="421"/>
      <c r="J162" s="58" t="s">
        <v>90</v>
      </c>
      <c r="K162" s="424"/>
      <c r="L162" s="8" t="str">
        <f>IF(ISNA(HLOOKUP($G$2,'Prior Year Amounts'!$K$32:$AK$245,121,FALSE)),"",(HLOOKUP($G$2,'Prior Year Amounts'!$K$32:$AK$245,121,FALSE)))</f>
        <v/>
      </c>
      <c r="M162" s="8" t="str">
        <f t="shared" si="18"/>
        <v/>
      </c>
      <c r="N162" s="108" t="str">
        <f t="shared" si="19"/>
        <v/>
      </c>
      <c r="O162" s="108" t="str">
        <f t="shared" ref="O162:O163" si="20">IF(L162="","",IF(OR((ABS(M162)&gt;20400000),AND(ABS(M162)&gt;10200000,ABS(N162)&gt;0.1)),"YES","-"))</f>
        <v/>
      </c>
    </row>
    <row r="163" spans="1:15" ht="12" hidden="1">
      <c r="A163" s="55" t="s">
        <v>813</v>
      </c>
      <c r="B163" s="50"/>
      <c r="C163" s="50"/>
      <c r="D163" s="50"/>
      <c r="E163" s="50"/>
      <c r="J163" s="58" t="s">
        <v>73</v>
      </c>
      <c r="K163" s="15"/>
      <c r="L163" s="8" t="str">
        <f>IF(ISNA(HLOOKUP($G$2,'Prior Year Amounts'!$K$32:$AK$245,122,FALSE)),"",(HLOOKUP($G$2,'Prior Year Amounts'!$K$32:$AK$245,122,FALSE)))</f>
        <v/>
      </c>
      <c r="M163" s="8" t="str">
        <f t="shared" si="18"/>
        <v/>
      </c>
      <c r="N163" s="108" t="str">
        <f t="shared" si="19"/>
        <v/>
      </c>
      <c r="O163" s="108" t="str">
        <f t="shared" si="20"/>
        <v/>
      </c>
    </row>
    <row r="164" spans="1:15" ht="12.75">
      <c r="A164" s="55" t="s">
        <v>440</v>
      </c>
      <c r="B164" s="50"/>
      <c r="C164" s="50"/>
      <c r="D164" s="50"/>
      <c r="E164"/>
      <c r="F164"/>
      <c r="J164" s="58" t="s">
        <v>73</v>
      </c>
      <c r="K164" s="15"/>
      <c r="L164" s="8" t="str">
        <f>IF(ISNA(HLOOKUP($G$2,'Prior Year Amounts'!$K$32:$AK$245,125,FALSE)),"",(HLOOKUP($G$2,'Prior Year Amounts'!$K$32:$AK$245,125,FALSE)))</f>
        <v/>
      </c>
      <c r="M164" s="8" t="str">
        <f>IF(ISERR(K164-L164),"",(K164-L164))</f>
        <v/>
      </c>
      <c r="N164" s="108" t="str">
        <f>IF(ISERR(IF(M164=0,0,IF((AND(L164=0,K164&gt;0)),1,IF((AND(L164=0,K164&lt;0)),-1,M164/ABS(L164))))),"",(IF(M164=0,0,IF((AND(L164=0,K164&gt;0)),1,IF((AND(L164=0,K164&lt;0)),-1,M164/ABS(L164))))))</f>
        <v/>
      </c>
      <c r="O164" s="108" t="str">
        <f>IF(L164="","",IF(OR((ABS(M164)&gt;19800000),AND(ABS(M164)&gt;9900000,ABS(N164)&gt;0.1)),"YES","-"))</f>
        <v/>
      </c>
    </row>
    <row r="165" spans="1:15" ht="12">
      <c r="A165" s="50" t="s">
        <v>160</v>
      </c>
      <c r="B165" s="50"/>
      <c r="C165" s="50"/>
      <c r="D165" s="50"/>
      <c r="E165" s="50"/>
      <c r="G165" s="548" t="str">
        <f>IF(K165&lt;&gt;0,"Answer Required","N/A")</f>
        <v>N/A</v>
      </c>
      <c r="H165" s="549" t="str">
        <f>IF(J165&lt;&gt;0,"Answer Required","N/A")</f>
        <v>Answer Required</v>
      </c>
      <c r="I165" s="550" t="str">
        <f>IF(K165&lt;&gt;0,"Answer Required","N/A")</f>
        <v>N/A</v>
      </c>
      <c r="J165" s="58" t="s">
        <v>72</v>
      </c>
      <c r="K165" s="47"/>
      <c r="L165" s="8" t="str">
        <f>IF(ISNA(HLOOKUP($G$2,'Prior Year Amounts'!$K$32:$AK$245,126,FALSE)),"",(HLOOKUP($G$2,'Prior Year Amounts'!$K$32:$AK$245,126,FALSE)))</f>
        <v/>
      </c>
      <c r="M165" s="8" t="str">
        <f t="shared" si="18"/>
        <v/>
      </c>
      <c r="N165" s="108" t="str">
        <f t="shared" si="19"/>
        <v/>
      </c>
      <c r="O165" s="108" t="str">
        <f>IF(L165="","",IF(OR((ABS(M165)&gt;19800000),AND(ABS(M165)&gt;9900000,ABS(N165)&gt;0.1)),"YES","-"))</f>
        <v/>
      </c>
    </row>
    <row r="166" spans="1:15" ht="12">
      <c r="A166" s="50"/>
      <c r="B166" s="51" t="s">
        <v>429</v>
      </c>
      <c r="C166" s="50"/>
      <c r="D166" s="50"/>
      <c r="E166" s="50"/>
      <c r="J166" s="57"/>
      <c r="K166" s="13">
        <f>SUM(K156:K165)</f>
        <v>0</v>
      </c>
      <c r="L166" s="13">
        <f>SUM(L156:L165)</f>
        <v>0</v>
      </c>
      <c r="M166" s="13">
        <f>K166-L166</f>
        <v>0</v>
      </c>
      <c r="N166" s="133">
        <f t="shared" si="19"/>
        <v>0</v>
      </c>
      <c r="O166" s="108"/>
    </row>
    <row r="167" spans="1:15" ht="12">
      <c r="A167" s="50"/>
      <c r="B167" s="51"/>
      <c r="C167" s="50"/>
      <c r="D167" s="50"/>
      <c r="E167" s="50"/>
      <c r="J167" s="57"/>
      <c r="L167" s="8"/>
      <c r="M167" s="8"/>
      <c r="N167" s="108"/>
      <c r="O167" s="108"/>
    </row>
    <row r="168" spans="1:15" ht="12">
      <c r="A168" s="50" t="s">
        <v>197</v>
      </c>
      <c r="B168" s="50"/>
      <c r="C168" s="50"/>
      <c r="D168" s="50"/>
      <c r="E168" s="50"/>
      <c r="J168" s="57"/>
      <c r="K168" s="15"/>
      <c r="L168" s="8" t="str">
        <f>IF(ISNA(HLOOKUP($G$2,'Prior Year Amounts'!$K$32:$AK$245,129,FALSE)),"",(HLOOKUP($G$2,'Prior Year Amounts'!$K$32:$AK$245,129,FALSE)))</f>
        <v/>
      </c>
      <c r="M168" s="8" t="str">
        <f>IF(ISERR(K168-L168),"",(K168-L168))</f>
        <v/>
      </c>
      <c r="N168" s="108" t="str">
        <f t="shared" ref="N168:N173" si="21">IF(ISERR(IF(M168=0,0,IF((AND(L168=0,K168&gt;0)),1,IF((AND(L168=0,K168&lt;0)),-1,M168/ABS(L168))))),"",(IF(M168=0,0,IF((AND(L168=0,K168&gt;0)),1,IF((AND(L168=0,K168&lt;0)),-1,M168/ABS(L168))))))</f>
        <v/>
      </c>
      <c r="O168" s="108" t="str">
        <f>IF(L168="","",IF(OR((ABS(M168)&gt;19800000),AND(ABS(M168)&gt;9900000,ABS(N168)&gt;0.1)),"YES","-"))</f>
        <v/>
      </c>
    </row>
    <row r="169" spans="1:15" ht="12">
      <c r="A169" s="50" t="s">
        <v>159</v>
      </c>
      <c r="B169" s="50"/>
      <c r="C169" s="50"/>
      <c r="D169" s="50"/>
      <c r="E169" s="50"/>
      <c r="G169" s="548" t="str">
        <f>IF(K169&lt;&gt;0,"Answer Required","N/A")</f>
        <v>N/A</v>
      </c>
      <c r="H169" s="549" t="str">
        <f>IF(J169&lt;&gt;0,"Answer Required","N/A")</f>
        <v>N/A</v>
      </c>
      <c r="I169" s="550" t="str">
        <f>IF(K169&lt;&gt;0,"Answer Required","N/A")</f>
        <v>N/A</v>
      </c>
      <c r="J169" s="57"/>
      <c r="K169" s="15"/>
      <c r="L169" s="8" t="str">
        <f>IF(ISNA(HLOOKUP($G$2,'Prior Year Amounts'!$K$32:$AK$245,130,FALSE)),"",(HLOOKUP($G$2,'Prior Year Amounts'!$K$32:$AK$245,130,FALSE)))</f>
        <v/>
      </c>
      <c r="M169" s="8" t="str">
        <f>IF(ISERR(K169-L169),"",(K169-L169))</f>
        <v/>
      </c>
      <c r="N169" s="108" t="str">
        <f t="shared" si="21"/>
        <v/>
      </c>
      <c r="O169" s="108" t="str">
        <f>IF(L169="","",IF(OR((ABS(M169)&gt;19800000),AND(ABS(M169)&gt;9900000,ABS(N169)&gt;0.1)),"YES","-"))</f>
        <v/>
      </c>
    </row>
    <row r="170" spans="1:15" ht="12">
      <c r="A170" s="50" t="s">
        <v>175</v>
      </c>
      <c r="B170" s="50"/>
      <c r="C170" s="50"/>
      <c r="D170" s="50"/>
      <c r="E170" s="50"/>
      <c r="J170" s="57"/>
      <c r="K170" s="15"/>
      <c r="L170" s="8" t="str">
        <f>IF(ISNA(HLOOKUP($G$2,'Prior Year Amounts'!$K$32:$AK$245,131,FALSE)),"",(HLOOKUP($G$2,'Prior Year Amounts'!$K$32:$AK$245,131,FALSE)))</f>
        <v/>
      </c>
      <c r="M170" s="8" t="str">
        <f>IF(ISERR(K170-L170),"",(K170-L170))</f>
        <v/>
      </c>
      <c r="N170" s="108" t="str">
        <f t="shared" si="21"/>
        <v/>
      </c>
      <c r="O170" s="108" t="str">
        <f>IF(L170="","",IF(OR((ABS(M170)&gt;19800000),AND(ABS(M170)&gt;9900000,ABS(N170)&gt;0.1)),"YES","-"))</f>
        <v/>
      </c>
    </row>
    <row r="171" spans="1:15" ht="12" hidden="1">
      <c r="A171" s="341" t="s">
        <v>68</v>
      </c>
      <c r="B171" s="50"/>
      <c r="C171" s="50"/>
      <c r="D171" s="50"/>
      <c r="E171" s="50"/>
      <c r="J171" s="57"/>
      <c r="K171" s="15"/>
      <c r="L171" s="8" t="str">
        <f>IF(ISNA(HLOOKUP($G$2,'Prior Year Amounts'!$K$32:$AK$245,130,FALSE)),"",(HLOOKUP($G$2,'Prior Year Amounts'!$K$32:$AK$245,130,FALSE)))</f>
        <v/>
      </c>
      <c r="M171" s="8" t="str">
        <f>IF(ISERR(K171-L171),"",(K171-L171))</f>
        <v/>
      </c>
      <c r="N171" s="108" t="str">
        <f t="shared" si="21"/>
        <v/>
      </c>
      <c r="O171" s="108" t="str">
        <f t="shared" ref="O171" si="22">IF(L171="","",IF(OR((ABS(M171)&gt;20400000),AND(ABS(M171)&gt;10200000,ABS(N171)&gt;0.1)),"YES","-"))</f>
        <v/>
      </c>
    </row>
    <row r="172" spans="1:15" ht="12">
      <c r="A172" s="50" t="s">
        <v>199</v>
      </c>
      <c r="B172" s="50"/>
      <c r="C172" s="50"/>
      <c r="D172" s="50"/>
      <c r="E172" s="50"/>
      <c r="J172" s="57"/>
      <c r="K172" s="47"/>
      <c r="L172" s="8" t="str">
        <f>IF(ISNA(HLOOKUP($G$2,'Prior Year Amounts'!$K$32:$AK$245,133,FALSE)),"",(HLOOKUP($G$2,'Prior Year Amounts'!$K$32:$AK$245,133,FALSE)))</f>
        <v/>
      </c>
      <c r="M172" s="8" t="str">
        <f>IF(ISERR(K172-L172),"",(K172-L172))</f>
        <v/>
      </c>
      <c r="N172" s="108" t="str">
        <f t="shared" si="21"/>
        <v/>
      </c>
      <c r="O172" s="108" t="str">
        <f>IF(L172="","",IF(OR((ABS(M172)&gt;19800000),AND(ABS(M172)&gt;9900000,ABS(N172)&gt;0.1)),"YES","-"))</f>
        <v/>
      </c>
    </row>
    <row r="173" spans="1:15" ht="12">
      <c r="A173" s="51"/>
      <c r="B173" s="51" t="s">
        <v>57</v>
      </c>
      <c r="C173" s="50"/>
      <c r="D173" s="50"/>
      <c r="E173" s="50"/>
      <c r="J173" s="58"/>
      <c r="K173" s="13">
        <f>SUM(K168:K172)</f>
        <v>0</v>
      </c>
      <c r="L173" s="13">
        <f>SUM(L168:L172)</f>
        <v>0</v>
      </c>
      <c r="M173" s="13">
        <f>K173-L173</f>
        <v>0</v>
      </c>
      <c r="N173" s="133">
        <f t="shared" si="21"/>
        <v>0</v>
      </c>
      <c r="O173" s="108"/>
    </row>
    <row r="174" spans="1:15" ht="12">
      <c r="A174" s="50"/>
      <c r="B174" s="50"/>
      <c r="C174" s="50"/>
      <c r="D174" s="50"/>
      <c r="E174" s="50"/>
      <c r="J174" s="57"/>
      <c r="L174" s="8"/>
      <c r="M174" s="8"/>
      <c r="N174" s="108"/>
      <c r="O174" s="108"/>
    </row>
    <row r="175" spans="1:15" ht="12">
      <c r="A175" s="55" t="s">
        <v>430</v>
      </c>
      <c r="B175" s="50"/>
      <c r="C175" s="50"/>
      <c r="D175" s="50"/>
      <c r="E175" s="50"/>
      <c r="J175" s="58" t="s">
        <v>69</v>
      </c>
      <c r="K175" s="15"/>
      <c r="L175" s="8" t="str">
        <f>IF(ISNA(HLOOKUP($G$2,'Prior Year Amounts'!$K$32:$AK$245,136,FALSE)),"",(HLOOKUP($G$2,'Prior Year Amounts'!$K$32:$AK$245,136,FALSE)))</f>
        <v/>
      </c>
      <c r="M175" s="8" t="str">
        <f t="shared" ref="M175:M183" si="23">IF(ISERR(K175-L175),"",(K175-L175))</f>
        <v/>
      </c>
      <c r="N175" s="108" t="str">
        <f t="shared" ref="N175:N184" si="24">IF(ISERR(IF(M175=0,0,IF((AND(L175=0,K175&gt;0)),1,IF((AND(L175=0,K175&lt;0)),-1,M175/ABS(L175))))),"",(IF(M175=0,0,IF((AND(L175=0,K175&gt;0)),1,IF((AND(L175=0,K175&lt;0)),-1,M175/ABS(L175))))))</f>
        <v/>
      </c>
      <c r="O175" s="108" t="str">
        <f>IF(L175="","",IF(OR((ABS(M175)&gt;19800000),AND(ABS(M175)&gt;9900000,ABS(N175)&gt;0.1)),"YES","-"))</f>
        <v/>
      </c>
    </row>
    <row r="176" spans="1:15" ht="12">
      <c r="A176" s="56" t="s">
        <v>56</v>
      </c>
      <c r="B176" s="50"/>
      <c r="C176" s="50"/>
      <c r="D176" s="50"/>
      <c r="E176" s="50"/>
      <c r="J176" s="58" t="s">
        <v>70</v>
      </c>
      <c r="K176" s="15"/>
      <c r="L176" s="8" t="str">
        <f>IF(ISNA(HLOOKUP($G$2,'Prior Year Amounts'!$K$32:$AK$245,137,FALSE)),"",(HLOOKUP($G$2,'Prior Year Amounts'!$K$32:$AK$245,137,FALSE)))</f>
        <v/>
      </c>
      <c r="M176" s="8" t="str">
        <f t="shared" si="23"/>
        <v/>
      </c>
      <c r="N176" s="108" t="str">
        <f t="shared" si="24"/>
        <v/>
      </c>
      <c r="O176" s="108" t="str">
        <f>IF(L176="","",IF(OR((ABS(M176)&gt;19800000),AND(ABS(M176)&gt;9900000,ABS(N176)&gt;0.1)),"YES","-"))</f>
        <v/>
      </c>
    </row>
    <row r="177" spans="1:15" ht="12" hidden="1">
      <c r="A177" s="56" t="s">
        <v>59</v>
      </c>
      <c r="B177" s="50"/>
      <c r="C177" s="50"/>
      <c r="D177" s="50"/>
      <c r="E177" s="50"/>
      <c r="J177" s="58" t="s">
        <v>71</v>
      </c>
      <c r="K177" s="15"/>
      <c r="L177" s="8"/>
      <c r="M177" s="8"/>
      <c r="N177" s="108"/>
      <c r="O177" s="108"/>
    </row>
    <row r="178" spans="1:15" ht="12">
      <c r="A178" s="55" t="s">
        <v>107</v>
      </c>
      <c r="B178" s="50"/>
      <c r="C178" s="50"/>
      <c r="D178" s="50"/>
      <c r="E178" s="50"/>
      <c r="J178" s="58" t="s">
        <v>71</v>
      </c>
      <c r="K178" s="15"/>
      <c r="L178" s="8" t="str">
        <f>IF(ISNA(HLOOKUP($G$2,'Prior Year Amounts'!$K$32:$AK$245,139,FALSE)),"",(HLOOKUP($G$2,'Prior Year Amounts'!$K$32:$AK$245,139,FALSE)))</f>
        <v/>
      </c>
      <c r="M178" s="8" t="str">
        <f t="shared" si="23"/>
        <v/>
      </c>
      <c r="N178" s="108" t="str">
        <f t="shared" si="24"/>
        <v/>
      </c>
      <c r="O178" s="108" t="str">
        <f>IF(L178="","",IF(OR((ABS(M178)&gt;19800000),AND(ABS(M178)&gt;9900000,ABS(N178)&gt;0.1)),"YES","-"))</f>
        <v/>
      </c>
    </row>
    <row r="179" spans="1:15" ht="12">
      <c r="A179" s="55" t="s">
        <v>108</v>
      </c>
      <c r="B179" s="50"/>
      <c r="C179" s="50"/>
      <c r="D179" s="50"/>
      <c r="E179" s="50"/>
      <c r="J179" s="58" t="s">
        <v>73</v>
      </c>
      <c r="K179" s="15"/>
      <c r="L179" s="8" t="str">
        <f>IF(ISNA(HLOOKUP($G$2,'Prior Year Amounts'!$K$32:$AK$245,140,FALSE)),"",(HLOOKUP($G$2,'Prior Year Amounts'!$K$32:$AK$245,140,FALSE)))</f>
        <v/>
      </c>
      <c r="M179" s="8" t="str">
        <f t="shared" si="23"/>
        <v/>
      </c>
      <c r="N179" s="108" t="str">
        <f t="shared" si="24"/>
        <v/>
      </c>
      <c r="O179" s="108" t="str">
        <f>IF(L179="","",IF(OR((ABS(M179)&gt;19800000),AND(ABS(M179)&gt;9900000,ABS(N179)&gt;0.1)),"YES","-"))</f>
        <v/>
      </c>
    </row>
    <row r="180" spans="1:15" ht="10.5" hidden="1" customHeight="1">
      <c r="A180" s="55" t="s">
        <v>813</v>
      </c>
      <c r="B180" s="50"/>
      <c r="C180" s="50"/>
      <c r="D180" s="50"/>
      <c r="E180" s="50"/>
      <c r="J180" s="58"/>
      <c r="K180" s="473"/>
      <c r="L180" s="8" t="str">
        <f>IF(ISNA(HLOOKUP($G$2,'Prior Year Amounts'!$K$32:$AK$245,140,FALSE)),"",(HLOOKUP($G$2,'Prior Year Amounts'!$K$32:$AK$245,140,FALSE)))</f>
        <v/>
      </c>
      <c r="M180" s="8" t="str">
        <f t="shared" ref="M180" si="25">IF(ISERR(K180-L180),"",(K180-L180))</f>
        <v/>
      </c>
      <c r="N180" s="108" t="str">
        <f t="shared" ref="N180" si="26">IF(ISERR(IF(M180=0,0,IF((AND(L180=0,K180&gt;0)),1,IF((AND(L180=0,K180&lt;0)),-1,M180/ABS(L180))))),"",(IF(M180=0,0,IF((AND(L180=0,K180&gt;0)),1,IF((AND(L180=0,K180&lt;0)),-1,M180/ABS(L180))))))</f>
        <v/>
      </c>
      <c r="O180" s="108" t="str">
        <f t="shared" ref="O180" si="27">IF(L180="","",IF(OR((ABS(M180)&gt;20400000),AND(ABS(M180)&gt;10200000,ABS(N180)&gt;0.1)),"YES","-"))</f>
        <v/>
      </c>
    </row>
    <row r="181" spans="1:15" ht="12">
      <c r="A181" s="55" t="s">
        <v>395</v>
      </c>
      <c r="B181" s="50"/>
      <c r="C181" s="50"/>
      <c r="D181" s="50"/>
      <c r="E181" s="50"/>
      <c r="J181" s="58" t="s">
        <v>73</v>
      </c>
      <c r="K181" s="15"/>
      <c r="L181" s="8" t="str">
        <f>IF(ISNA(HLOOKUP($G$2,'Prior Year Amounts'!$K$32:$AK$245,143,FALSE)),"",(HLOOKUP($G$2,'Prior Year Amounts'!$K$32:$AK$245,143,FALSE)))</f>
        <v/>
      </c>
      <c r="M181" s="8" t="str">
        <f t="shared" si="23"/>
        <v/>
      </c>
      <c r="N181" s="108" t="str">
        <f t="shared" si="24"/>
        <v/>
      </c>
      <c r="O181" s="108" t="str">
        <f>IF(L181="","",IF(OR((ABS(M181)&gt;19800000),AND(ABS(M181)&gt;9900000,ABS(N181)&gt;0.1)),"YES","-"))</f>
        <v/>
      </c>
    </row>
    <row r="182" spans="1:15" ht="12.75">
      <c r="A182" s="55" t="s">
        <v>441</v>
      </c>
      <c r="B182" s="50"/>
      <c r="C182" s="50"/>
      <c r="D182" s="50"/>
      <c r="E182"/>
      <c r="F182"/>
      <c r="G182"/>
      <c r="J182" s="58" t="s">
        <v>73</v>
      </c>
      <c r="K182" s="15"/>
      <c r="L182" s="8" t="str">
        <f>IF(ISNA(HLOOKUP($G$2,'Prior Year Amounts'!$K$32:$AK$245,144,FALSE)),"",(HLOOKUP($G$2,'Prior Year Amounts'!$K$32:$AK$245,144,FALSE)))</f>
        <v/>
      </c>
      <c r="M182" s="8" t="str">
        <f>IF(ISERR(K182-L182),"",(K182-L182))</f>
        <v/>
      </c>
      <c r="N182" s="108" t="str">
        <f>IF(ISERR(IF(M182=0,0,IF((AND(L182=0,K182&gt;0)),1,IF((AND(L182=0,K182&lt;0)),-1,M182/ABS(L182))))),"",(IF(M182=0,0,IF((AND(L182=0,K182&gt;0)),1,IF((AND(L182=0,K182&lt;0)),-1,M182/ABS(L182))))))</f>
        <v/>
      </c>
      <c r="O182" s="108" t="str">
        <f>IF(L182="","",IF(OR((ABS(M182)&gt;19800000),AND(ABS(M182)&gt;9900000,ABS(N182)&gt;0.1)),"YES","-"))</f>
        <v/>
      </c>
    </row>
    <row r="183" spans="1:15" ht="12">
      <c r="A183" s="50" t="s">
        <v>161</v>
      </c>
      <c r="B183" s="50"/>
      <c r="C183" s="50"/>
      <c r="D183" s="50"/>
      <c r="E183" s="50"/>
      <c r="G183" s="548" t="str">
        <f>IF(K183&lt;&gt;0,"Answer Required","N/A")</f>
        <v>N/A</v>
      </c>
      <c r="H183" s="549" t="str">
        <f>IF(J183&lt;&gt;0,"Answer Required","N/A")</f>
        <v>Answer Required</v>
      </c>
      <c r="I183" s="550" t="str">
        <f>IF(K183&lt;&gt;0,"Answer Required","N/A")</f>
        <v>N/A</v>
      </c>
      <c r="J183" s="58" t="s">
        <v>72</v>
      </c>
      <c r="K183" s="47"/>
      <c r="L183" s="8" t="str">
        <f>IF(ISNA(HLOOKUP($G$2,'Prior Year Amounts'!$K$32:$AK$245,145,FALSE)),"",(HLOOKUP($G$2,'Prior Year Amounts'!$K$32:$AK$245,145,FALSE)))</f>
        <v/>
      </c>
      <c r="M183" s="8" t="str">
        <f t="shared" si="23"/>
        <v/>
      </c>
      <c r="N183" s="108" t="str">
        <f t="shared" si="24"/>
        <v/>
      </c>
      <c r="O183" s="108" t="str">
        <f>IF(L183="","",IF(OR((ABS(M183)&gt;19800000),AND(ABS(M183)&gt;9900000,ABS(N183)&gt;0.1)),"YES","-"))</f>
        <v/>
      </c>
    </row>
    <row r="184" spans="1:15" ht="12">
      <c r="A184" s="50"/>
      <c r="B184" s="51" t="s">
        <v>464</v>
      </c>
      <c r="C184" s="50"/>
      <c r="D184" s="50"/>
      <c r="E184" s="50"/>
      <c r="J184" s="57"/>
      <c r="K184" s="13">
        <f>SUM(K175:K183)</f>
        <v>0</v>
      </c>
      <c r="L184" s="13">
        <f>SUM(L175:L183)</f>
        <v>0</v>
      </c>
      <c r="M184" s="13">
        <f>K184-L184</f>
        <v>0</v>
      </c>
      <c r="N184" s="133">
        <f t="shared" si="24"/>
        <v>0</v>
      </c>
      <c r="O184" s="108"/>
    </row>
    <row r="185" spans="1:15" ht="12">
      <c r="A185" s="50"/>
      <c r="B185" s="50"/>
      <c r="C185" s="50"/>
      <c r="D185" s="50"/>
      <c r="E185" s="50"/>
      <c r="L185" s="8"/>
      <c r="M185" s="8"/>
      <c r="N185" s="108"/>
      <c r="O185" s="108"/>
    </row>
    <row r="186" spans="1:15" ht="12">
      <c r="A186" s="49" t="s">
        <v>381</v>
      </c>
      <c r="B186" s="50"/>
      <c r="C186" s="50"/>
      <c r="D186" s="50"/>
      <c r="E186" s="50"/>
      <c r="K186" s="13">
        <f>SUM(K136,K139,K140,K141,K143,K151,K153,K166,K173,K184+K138)</f>
        <v>0</v>
      </c>
      <c r="L186" s="13">
        <f>SUM(L136,L139,L140,L141,L143,L151,L153,L166,L173,L184)</f>
        <v>0</v>
      </c>
      <c r="M186" s="13">
        <f>K186-L186</f>
        <v>0</v>
      </c>
      <c r="N186" s="133">
        <f>IF(ISERR(IF(M186=0,0,IF((AND(L186=0,K186&gt;0)),1,IF((AND(L186=0,K186&lt;0)),-1,M186/ABS(L186))))),"",(IF(M186=0,0,IF((AND(L186=0,K186&gt;0)),1,IF((AND(L186=0,K186&lt;0)),-1,M186/ABS(L186))))))</f>
        <v>0</v>
      </c>
      <c r="O186" s="108"/>
    </row>
    <row r="187" spans="1:15" ht="12" hidden="1">
      <c r="A187" s="50"/>
      <c r="B187" s="50"/>
      <c r="C187" s="50"/>
      <c r="D187" s="50"/>
      <c r="E187" s="50"/>
      <c r="J187" s="57"/>
      <c r="K187" s="11"/>
      <c r="L187" s="8"/>
      <c r="M187" s="8"/>
      <c r="N187" s="108"/>
      <c r="O187" s="108"/>
    </row>
    <row r="188" spans="1:15" ht="12" hidden="1">
      <c r="A188" s="49" t="s">
        <v>553</v>
      </c>
      <c r="B188" s="50"/>
      <c r="C188" s="50"/>
      <c r="D188" s="50"/>
      <c r="E188" s="50"/>
      <c r="J188" s="343" t="s">
        <v>588</v>
      </c>
      <c r="K188" s="15"/>
      <c r="L188" s="8" t="str">
        <f>IF(ISNA(HLOOKUP($G$2,'Prior Year Amounts'!$K$32:$AK$245,148,FALSE)),"",(HLOOKUP($G$2,'Prior Year Amounts'!$K$32:$AK$245,148,FALSE)))</f>
        <v/>
      </c>
      <c r="M188" s="8" t="str">
        <f>IF(ISERR(K188-L188),"",(K188-L188))</f>
        <v/>
      </c>
      <c r="N188" s="108" t="str">
        <f>IF(ISERR(IF(M188=0,0,IF((AND(L188=0,K188&gt;0)),1,IF((AND(L188=0,K188&lt;0)),-1,M188/ABS(L188))))),"",(IF(M188=0,0,IF((AND(L188=0,K188&gt;0)),1,IF((AND(L188=0,K188&lt;0)),-1,M188/ABS(L188))))))</f>
        <v/>
      </c>
      <c r="O188" s="108" t="str">
        <f>IF(ISERR(IF(OR((ABS(M188)&gt;7200000),AND(ABS(M188)&gt;3600000,ABS(N188)&gt;0.1),AND(ABS(K188)=0,ABS(L188)&gt;0),AND(ABS(K188)&gt;0,ABS(L188)=0)),"YES","-")),"",(IF(OR((ABS(M188)&gt;7200000),AND(ABS(M188)&gt;3600000,ABS(N188)&gt;0.1),AND(ABS(K188)=0,ABS(L188)&gt;0),AND(ABS(K188)&gt;0,ABS(L188)=0)),"YES","-")))</f>
        <v/>
      </c>
    </row>
    <row r="189" spans="1:15" ht="12" hidden="1">
      <c r="A189" s="49"/>
      <c r="B189" s="50"/>
      <c r="C189" s="50"/>
      <c r="D189" s="50"/>
      <c r="E189" s="50"/>
      <c r="J189" s="57"/>
      <c r="L189" s="8"/>
      <c r="M189" s="8"/>
      <c r="N189" s="108"/>
      <c r="O189" s="108"/>
    </row>
    <row r="190" spans="1:15" ht="0.75" customHeight="1">
      <c r="A190" s="49" t="s">
        <v>554</v>
      </c>
      <c r="B190" s="50"/>
      <c r="C190" s="50"/>
      <c r="D190" s="50"/>
      <c r="E190" s="50"/>
      <c r="J190" s="57"/>
      <c r="K190" s="13">
        <f>SUM(K188,K186)</f>
        <v>0</v>
      </c>
      <c r="L190" s="13">
        <f>SUM(L188,L186)</f>
        <v>0</v>
      </c>
      <c r="M190" s="13">
        <f>SUM(M188,M186)</f>
        <v>0</v>
      </c>
      <c r="N190" s="133">
        <f>IF(ISERR(IF(M190=0,0,IF((AND(L190=0,K190&gt;0)),1,IF((AND(L190=0,K190&lt;0)),-1,M190/ABS(L190))))),"",(IF(M190=0,0,IF((AND(L190=0,K190&gt;0)),1,IF((AND(L190=0,K190&lt;0)),-1,M190/ABS(L190))))))</f>
        <v>0</v>
      </c>
      <c r="O190" s="108"/>
    </row>
    <row r="191" spans="1:15" ht="12">
      <c r="A191" s="50"/>
      <c r="B191" s="50"/>
      <c r="C191" s="50"/>
      <c r="D191" s="50"/>
      <c r="E191" s="50"/>
      <c r="J191" s="57"/>
      <c r="L191" s="8"/>
      <c r="M191" s="8"/>
      <c r="N191" s="108"/>
      <c r="O191" s="108"/>
    </row>
    <row r="192" spans="1:15" ht="12">
      <c r="A192" s="49" t="s">
        <v>544</v>
      </c>
      <c r="B192" s="50"/>
      <c r="C192" s="50"/>
      <c r="D192" s="50"/>
      <c r="E192" s="50"/>
      <c r="J192" s="57"/>
      <c r="L192" s="8"/>
      <c r="M192" s="8"/>
      <c r="N192" s="108"/>
      <c r="O192" s="108"/>
    </row>
    <row r="193" spans="1:15" ht="12">
      <c r="A193" s="51" t="s">
        <v>530</v>
      </c>
      <c r="B193" s="50"/>
      <c r="C193" s="50"/>
      <c r="D193" s="50"/>
      <c r="E193" s="50"/>
      <c r="J193" s="344" t="s">
        <v>75</v>
      </c>
      <c r="K193" s="15"/>
      <c r="L193" s="8" t="str">
        <f>IF(ISNA(HLOOKUP($G$2,'Prior Year Amounts'!$K$32:$AK$245,155,FALSE)),"",(HLOOKUP($G$2,'Prior Year Amounts'!$K$32:$AK$245,155,FALSE)))</f>
        <v/>
      </c>
      <c r="M193" s="8" t="str">
        <f>IF(ISERR(K193-L193),"",(K193-L193))</f>
        <v/>
      </c>
      <c r="N193" s="108" t="str">
        <f>IF(ISERR(IF(M193=0,0,IF((AND(L193=0,K193&gt;0)),1,IF((AND(L193=0,K193&lt;0)),-1,M193/ABS(L193))))),"",(IF(M193=0,0,IF((AND(L193=0,K193&gt;0)),1,IF((AND(L193=0,K193&lt;0)),-1,M193/ABS(L193))))))</f>
        <v/>
      </c>
      <c r="O193" s="108" t="str">
        <f>IF(L193="","",IF(OR((ABS(M193)&gt;19800000),AND(ABS(M193)&gt;9900000,ABS(N193)&gt;0.1)),"YES","-"))</f>
        <v/>
      </c>
    </row>
    <row r="194" spans="1:15" ht="12">
      <c r="A194" s="50" t="s">
        <v>118</v>
      </c>
      <c r="B194" s="50"/>
      <c r="C194" s="50"/>
      <c r="D194" s="50"/>
      <c r="E194" s="50"/>
      <c r="J194" s="345"/>
      <c r="L194" s="8"/>
      <c r="M194" s="8"/>
      <c r="N194" s="108"/>
      <c r="O194" s="108"/>
    </row>
    <row r="195" spans="1:15" ht="12">
      <c r="A195" s="50"/>
      <c r="B195" s="50" t="s">
        <v>526</v>
      </c>
      <c r="C195" s="50"/>
      <c r="D195" s="50"/>
      <c r="E195" s="50"/>
      <c r="J195" s="14"/>
      <c r="K195" s="15"/>
      <c r="L195" s="8" t="str">
        <f>IF(ISNA(HLOOKUP($G$2,'Prior Year Amounts'!$K$32:$AK$245,157,FALSE)),"",(HLOOKUP($G$2,'Prior Year Amounts'!$K$32:$AK$245,157,FALSE)))</f>
        <v/>
      </c>
      <c r="M195" s="8" t="str">
        <f>IF(ISERR(K195-L195),"",(K195-L195))</f>
        <v/>
      </c>
      <c r="N195" s="108" t="str">
        <f>IF(ISERR(IF(M195=0,0,IF((AND(L195=0,K195&gt;0)),1,IF((AND(L195=0,K195&lt;0)),-1,M195/ABS(L195))))),"",(IF(M195=0,0,IF((AND(L195=0,K195&gt;0)),1,IF((AND(L195=0,K195&lt;0)),-1,M195/ABS(L195))))))</f>
        <v/>
      </c>
      <c r="O195" s="108" t="str">
        <f>IF(L195="","",IF(OR((ABS(M195)&gt;19800000),AND(ABS(M195)&gt;9900000,ABS(N195)&gt;0.1)),"YES","-"))</f>
        <v/>
      </c>
    </row>
    <row r="196" spans="1:15" ht="12">
      <c r="A196" s="50"/>
      <c r="B196" s="50"/>
      <c r="C196" s="50"/>
      <c r="D196" s="50"/>
      <c r="E196" s="50"/>
      <c r="J196" s="14"/>
      <c r="L196" s="8"/>
      <c r="M196" s="8"/>
      <c r="N196" s="108"/>
      <c r="O196" s="108"/>
    </row>
    <row r="197" spans="1:15" ht="12">
      <c r="A197" s="50"/>
      <c r="B197" s="50" t="s">
        <v>471</v>
      </c>
      <c r="C197" s="50"/>
      <c r="D197" s="50"/>
      <c r="E197" s="50"/>
      <c r="J197" s="14"/>
      <c r="L197" s="8"/>
      <c r="M197" s="8"/>
      <c r="N197" s="108"/>
      <c r="O197" s="108"/>
    </row>
    <row r="198" spans="1:15" ht="12">
      <c r="A198" s="50"/>
      <c r="B198" s="50"/>
      <c r="C198" s="50" t="s">
        <v>826</v>
      </c>
      <c r="D198" s="50"/>
      <c r="E198" s="50"/>
      <c r="J198" s="14"/>
      <c r="K198" s="15"/>
      <c r="L198" s="8" t="str">
        <f>IF(ISNA(HLOOKUP($G$2,'Prior Year Amounts'!$K$32:$AK$245,160,FALSE)),"",(HLOOKUP($G$2,'Prior Year Amounts'!$K$32:$AK$245,160,FALSE)))</f>
        <v/>
      </c>
      <c r="M198" s="8" t="str">
        <f t="shared" ref="M198:M206" si="28">IF(ISERR(K198-L198),"",(K198-L198))</f>
        <v/>
      </c>
      <c r="N198" s="108" t="str">
        <f t="shared" ref="N198:N206" si="29">IF(ISERR(IF(M198=0,0,IF((AND(L198=0,K198&gt;0)),1,IF((AND(L198=0,K198&lt;0)),-1,M198/ABS(L198))))),"",(IF(M198=0,0,IF((AND(L198=0,K198&gt;0)),1,IF((AND(L198=0,K198&lt;0)),-1,M198/ABS(L198))))))</f>
        <v/>
      </c>
      <c r="O198" s="108" t="str">
        <f>IF(L198="","",IF(OR((ABS(M198)&gt;19800000),AND(ABS(M198)&gt;9900000,ABS(N198)&gt;0.1)),"YES","-"))</f>
        <v/>
      </c>
    </row>
    <row r="199" spans="1:15" ht="12.75" hidden="1" customHeight="1">
      <c r="A199" s="50"/>
      <c r="B199" s="335"/>
      <c r="C199" s="335" t="s">
        <v>723</v>
      </c>
      <c r="D199" s="335"/>
      <c r="E199" s="335"/>
      <c r="F199" s="421"/>
      <c r="J199" s="14"/>
      <c r="K199" s="15"/>
      <c r="L199" s="8" t="str">
        <f>IF(ISNA(HLOOKUP($G$2,'Prior Year Amounts'!$K$32:$AK$245,159,FALSE)),"",(HLOOKUP($G$2,'Prior Year Amounts'!$K$32:$AK$245,159,FALSE)))</f>
        <v/>
      </c>
      <c r="M199" s="8" t="str">
        <f t="shared" si="28"/>
        <v/>
      </c>
      <c r="N199" s="108" t="str">
        <f t="shared" si="29"/>
        <v/>
      </c>
      <c r="O199" s="108" t="str">
        <f t="shared" ref="O199" si="30">IF(L199="","",IF(OR((ABS(M199)&gt;20400000),AND(ABS(M199)&gt;10200000,ABS(N199)&gt;0.1)),"YES","-"))</f>
        <v/>
      </c>
    </row>
    <row r="200" spans="1:15" ht="12.75">
      <c r="A200" s="50"/>
      <c r="B200" s="50"/>
      <c r="C200" s="50" t="s">
        <v>443</v>
      </c>
      <c r="D200" s="50"/>
      <c r="E200"/>
      <c r="F200"/>
      <c r="J200" s="14"/>
      <c r="K200" s="15"/>
      <c r="L200" s="8" t="str">
        <f>IF(ISNA(HLOOKUP($G$2,'Prior Year Amounts'!$K$32:$AK$245,162,FALSE)),"",(HLOOKUP($G$2,'Prior Year Amounts'!$K$32:$AK$245,162,FALSE)))</f>
        <v/>
      </c>
      <c r="M200" s="8" t="str">
        <f>IF(ISERR(K200-L200),"",(K200-L200))</f>
        <v/>
      </c>
      <c r="N200" s="108" t="str">
        <f>IF(ISERR(IF(M200=0,0,IF((AND(L200=0,K200&gt;0)),1,IF((AND(L200=0,K200&lt;0)),-1,M200/ABS(L200))))),"",(IF(M200=0,0,IF((AND(L200=0,K200&gt;0)),1,IF((AND(L200=0,K200&lt;0)),-1,M200/ABS(L200))))))</f>
        <v/>
      </c>
      <c r="O200" s="108" t="str">
        <f t="shared" ref="O200:O205" si="31">IF(L200="","",IF(OR((ABS(M200)&gt;19800000),AND(ABS(M200)&gt;9900000,ABS(N200)&gt;0.1)),"YES","-"))</f>
        <v/>
      </c>
    </row>
    <row r="201" spans="1:15" ht="12">
      <c r="A201" s="50"/>
      <c r="B201" s="50"/>
      <c r="C201" s="51" t="s">
        <v>453</v>
      </c>
      <c r="D201" s="50"/>
      <c r="E201" s="50"/>
      <c r="J201" s="14"/>
      <c r="K201" s="15"/>
      <c r="L201" s="8" t="str">
        <f>IF(ISNA(HLOOKUP($G$2,'Prior Year Amounts'!$K$32:$AK$245,163,FALSE)),"",(HLOOKUP($G$2,'Prior Year Amounts'!$K$32:$AK$245,163,FALSE)))</f>
        <v/>
      </c>
      <c r="M201" s="8" t="str">
        <f t="shared" si="28"/>
        <v/>
      </c>
      <c r="N201" s="108" t="str">
        <f t="shared" si="29"/>
        <v/>
      </c>
      <c r="O201" s="108" t="str">
        <f t="shared" si="31"/>
        <v/>
      </c>
    </row>
    <row r="202" spans="1:15" ht="12">
      <c r="A202" s="50"/>
      <c r="B202" s="50"/>
      <c r="C202" s="51" t="s">
        <v>121</v>
      </c>
      <c r="D202" s="50"/>
      <c r="E202" s="50"/>
      <c r="J202" s="14"/>
      <c r="K202" s="15"/>
      <c r="L202" s="8" t="str">
        <f>IF(ISNA(HLOOKUP($G$2,'Prior Year Amounts'!$K$32:$AK$245,164,FALSE)),"",(HLOOKUP($G$2,'Prior Year Amounts'!$K$32:$AK$245,164,FALSE)))</f>
        <v/>
      </c>
      <c r="M202" s="8" t="str">
        <f t="shared" si="28"/>
        <v/>
      </c>
      <c r="N202" s="108" t="str">
        <f t="shared" si="29"/>
        <v/>
      </c>
      <c r="O202" s="108" t="str">
        <f t="shared" si="31"/>
        <v/>
      </c>
    </row>
    <row r="203" spans="1:15" ht="12">
      <c r="A203" s="50"/>
      <c r="B203" s="50"/>
      <c r="C203" s="51" t="s">
        <v>122</v>
      </c>
      <c r="D203" s="50"/>
      <c r="E203" s="50"/>
      <c r="J203" s="14"/>
      <c r="K203" s="15"/>
      <c r="L203" s="8" t="str">
        <f>IF(ISNA(HLOOKUP($G$2,'Prior Year Amounts'!$K$32:$AK$245,165,FALSE)),"",(HLOOKUP($G$2,'Prior Year Amounts'!$K$32:$AK$245,165,FALSE)))</f>
        <v/>
      </c>
      <c r="M203" s="8" t="str">
        <f t="shared" si="28"/>
        <v/>
      </c>
      <c r="N203" s="108" t="str">
        <f t="shared" si="29"/>
        <v/>
      </c>
      <c r="O203" s="108" t="str">
        <f t="shared" si="31"/>
        <v/>
      </c>
    </row>
    <row r="204" spans="1:15" ht="12">
      <c r="A204" s="50"/>
      <c r="B204" s="50"/>
      <c r="C204" s="51" t="s">
        <v>158</v>
      </c>
      <c r="D204" s="50"/>
      <c r="E204" s="243"/>
      <c r="F204" s="243"/>
      <c r="G204" s="548" t="str">
        <f>IF(K204&lt;&gt;0,"Answer Required","N/A")</f>
        <v>N/A</v>
      </c>
      <c r="H204" s="549" t="str">
        <f>IF(J204&lt;&gt;0,"Answer Required","N/A")</f>
        <v>N/A</v>
      </c>
      <c r="I204" s="550" t="str">
        <f>IF(K204&lt;&gt;0,"Answer Required","N/A")</f>
        <v>N/A</v>
      </c>
      <c r="J204" s="14"/>
      <c r="K204" s="15"/>
      <c r="L204" s="8" t="str">
        <f>IF(ISNA(HLOOKUP($G$2,'Prior Year Amounts'!$K$32:$AK$245,166,FALSE)),"",(HLOOKUP($G$2,'Prior Year Amounts'!$K$32:$AK$245,166,FALSE)))</f>
        <v/>
      </c>
      <c r="M204" s="8" t="str">
        <f t="shared" si="28"/>
        <v/>
      </c>
      <c r="N204" s="108" t="str">
        <f t="shared" si="29"/>
        <v/>
      </c>
      <c r="O204" s="108" t="str">
        <f t="shared" si="31"/>
        <v/>
      </c>
    </row>
    <row r="205" spans="1:15" ht="12">
      <c r="A205" s="51" t="s">
        <v>123</v>
      </c>
      <c r="B205" s="50"/>
      <c r="C205" s="50"/>
      <c r="D205" s="50"/>
      <c r="E205" s="50"/>
      <c r="J205" s="14"/>
      <c r="K205" s="47"/>
      <c r="L205" s="8" t="str">
        <f>IF(ISNA(HLOOKUP($G$2,'Prior Year Amounts'!$K$32:$AK$245,167,FALSE)),"",(HLOOKUP($G$2,'Prior Year Amounts'!$K$32:$AK$245,167,FALSE)))</f>
        <v/>
      </c>
      <c r="M205" s="8" t="str">
        <f t="shared" si="28"/>
        <v/>
      </c>
      <c r="N205" s="108" t="str">
        <f t="shared" si="29"/>
        <v/>
      </c>
      <c r="O205" s="108" t="str">
        <f t="shared" si="31"/>
        <v/>
      </c>
    </row>
    <row r="206" spans="1:15" ht="12.75" thickBot="1">
      <c r="A206" s="49" t="s">
        <v>545</v>
      </c>
      <c r="B206" s="50"/>
      <c r="C206" s="50"/>
      <c r="D206" s="50"/>
      <c r="E206" s="50"/>
      <c r="K206" s="134">
        <f>IF(SUM(K193,K195,K198:K205)+K186=K117,SUM(K193,K195,K198:K205),"ERROR")</f>
        <v>0</v>
      </c>
      <c r="L206" s="134" t="str">
        <f>IF(G1="","",(IF(SUM(L193,L195,L198:L205)+L186=L117,SUM(L193,L195, L198:L205),"Error")))</f>
        <v/>
      </c>
      <c r="M206" s="134" t="str">
        <f t="shared" si="28"/>
        <v/>
      </c>
      <c r="N206" s="259" t="str">
        <f t="shared" si="29"/>
        <v/>
      </c>
      <c r="O206" s="108"/>
    </row>
    <row r="207" spans="1:15" ht="12.75" thickTop="1">
      <c r="A207" s="49"/>
      <c r="B207" s="50"/>
      <c r="C207" s="50"/>
      <c r="D207" s="50"/>
      <c r="E207" s="50"/>
      <c r="J207" s="137" t="s">
        <v>48</v>
      </c>
      <c r="K207" s="136">
        <f>(SUM(K193,K195,K198:K205)+K186)-K117</f>
        <v>0</v>
      </c>
      <c r="L207" s="8"/>
      <c r="M207" s="8"/>
      <c r="N207" s="108"/>
      <c r="O207" s="108"/>
    </row>
    <row r="208" spans="1:15" ht="12">
      <c r="A208" s="50"/>
      <c r="B208" s="50"/>
      <c r="C208" s="50"/>
      <c r="D208" s="50"/>
      <c r="E208" s="50"/>
      <c r="M208" s="8"/>
      <c r="N208" s="108"/>
      <c r="O208" s="108"/>
    </row>
    <row r="209" spans="1:15" ht="12">
      <c r="A209" s="49" t="s">
        <v>392</v>
      </c>
      <c r="B209" s="50"/>
      <c r="C209" s="50"/>
      <c r="D209" s="50"/>
      <c r="E209" s="50"/>
      <c r="G209" s="574" t="str">
        <f>G1</f>
        <v/>
      </c>
      <c r="H209" s="575"/>
      <c r="I209" s="575"/>
      <c r="J209" s="576"/>
      <c r="M209" s="8"/>
      <c r="N209" s="108"/>
      <c r="O209" s="108"/>
    </row>
    <row r="210" spans="1:15" ht="25.5" customHeight="1">
      <c r="A210" s="49" t="s">
        <v>404</v>
      </c>
      <c r="B210" s="50"/>
      <c r="C210" s="50"/>
      <c r="D210" s="50"/>
      <c r="E210" s="50"/>
      <c r="G210" s="577" t="str">
        <f>IF(G2="","",G2)</f>
        <v/>
      </c>
      <c r="H210" s="578"/>
      <c r="I210" s="578"/>
      <c r="J210" s="579"/>
      <c r="M210" s="8"/>
      <c r="N210" s="108"/>
      <c r="O210" s="108"/>
    </row>
    <row r="211" spans="1:15" ht="12">
      <c r="A211" s="49"/>
      <c r="B211" s="50"/>
      <c r="C211" s="50"/>
      <c r="D211" s="50"/>
      <c r="E211" s="50"/>
      <c r="M211" s="8"/>
      <c r="N211" s="108"/>
      <c r="O211" s="108"/>
    </row>
    <row r="212" spans="1:15" ht="15.75" customHeight="1">
      <c r="A212" s="48" t="s">
        <v>469</v>
      </c>
      <c r="B212" s="50"/>
      <c r="C212" s="50"/>
      <c r="D212" s="50"/>
      <c r="E212" s="50"/>
      <c r="M212" s="8"/>
      <c r="N212" s="108"/>
      <c r="O212" s="571" t="s">
        <v>608</v>
      </c>
    </row>
    <row r="213" spans="1:15" ht="15.75" customHeight="1">
      <c r="A213" s="48" t="str">
        <f>A35</f>
        <v>For the Year Ended June 30, 2024</v>
      </c>
      <c r="B213" s="50"/>
      <c r="C213" s="50"/>
      <c r="D213" s="50"/>
      <c r="E213" s="50"/>
      <c r="M213" s="8"/>
      <c r="N213" s="108"/>
      <c r="O213" s="572"/>
    </row>
    <row r="214" spans="1:15" ht="15.75">
      <c r="A214" s="48"/>
      <c r="B214" s="50"/>
      <c r="C214" s="50"/>
      <c r="D214" s="50"/>
      <c r="E214" s="50"/>
      <c r="J214" s="44" t="s">
        <v>377</v>
      </c>
      <c r="K214" s="45"/>
      <c r="M214" s="8"/>
      <c r="N214" s="108"/>
      <c r="O214" s="572"/>
    </row>
    <row r="215" spans="1:15" ht="13.5" thickBot="1">
      <c r="A215" s="240"/>
      <c r="B215" s="240"/>
      <c r="C215" s="240"/>
      <c r="D215" s="240"/>
      <c r="E215" s="240"/>
      <c r="F215" s="105"/>
      <c r="G215" s="580" t="s">
        <v>215</v>
      </c>
      <c r="H215" s="580"/>
      <c r="I215" s="555"/>
      <c r="J215" s="315" t="s">
        <v>463</v>
      </c>
      <c r="K215" s="46" t="s">
        <v>176</v>
      </c>
      <c r="L215" s="46" t="s">
        <v>37</v>
      </c>
      <c r="M215" s="46" t="s">
        <v>454</v>
      </c>
      <c r="N215" s="46" t="s">
        <v>455</v>
      </c>
      <c r="O215" s="573"/>
    </row>
    <row r="216" spans="1:15" ht="12.75" customHeight="1">
      <c r="A216" s="49" t="s">
        <v>470</v>
      </c>
      <c r="B216" s="50"/>
      <c r="C216" s="50"/>
      <c r="D216" s="50"/>
      <c r="E216" s="50"/>
      <c r="M216" s="8"/>
      <c r="N216" s="108"/>
      <c r="O216" s="108"/>
    </row>
    <row r="217" spans="1:15" ht="12">
      <c r="A217" s="51" t="s">
        <v>472</v>
      </c>
      <c r="B217" s="50"/>
      <c r="C217" s="50"/>
      <c r="D217" s="50"/>
      <c r="E217" s="50"/>
      <c r="K217" s="15"/>
      <c r="L217" s="8" t="str">
        <f>IF(ISNA(HLOOKUP($G$2,'Prior Year Amounts'!$K$32:$AK$245,178,FALSE)),"",(HLOOKUP($G$2,'Prior Year Amounts'!$K$32:$AK$245,178,FALSE)))</f>
        <v/>
      </c>
      <c r="M217" s="8" t="str">
        <f>IF(ISERR(K217-L217),"",(K217-L217))</f>
        <v/>
      </c>
      <c r="N217" s="108" t="str">
        <f>IF(ISERR(IF(M217=0,0,IF((AND(L217=0,K217&gt;0)),1,IF((AND(L217=0,K217&lt;0)),-1,M217/ABS(L217))))),"",(IF(M217=0,0,IF((AND(L217=0,K217&gt;0)),1,IF((AND(L217=0,K217&lt;0)),-1,M217/ABS(L217))))))</f>
        <v/>
      </c>
      <c r="O217" s="108" t="str">
        <f>IF(L217="","",IF(OR((ABS(M217)&gt;19800000),AND(ABS(M217)&gt;9900000,ABS(N217)&gt;0.1)),"YES","-"))</f>
        <v/>
      </c>
    </row>
    <row r="218" spans="1:15" ht="12">
      <c r="A218" s="51" t="s">
        <v>473</v>
      </c>
      <c r="B218" s="50"/>
      <c r="C218" s="50"/>
      <c r="D218" s="50"/>
      <c r="E218" s="50"/>
      <c r="K218" s="15"/>
      <c r="L218" s="8" t="str">
        <f>IF(ISNA(HLOOKUP($G$2,'Prior Year Amounts'!$K$32:$AK$245,179,FALSE)),"",(HLOOKUP($G$2,'Prior Year Amounts'!$K$32:$AK$245,179,FALSE)))</f>
        <v/>
      </c>
      <c r="M218" s="8" t="str">
        <f>IF(ISERR(K218-L218),"",(K218-L218))</f>
        <v/>
      </c>
      <c r="N218" s="108" t="str">
        <f>IF(ISERR(IF(M218=0,0,IF((AND(L218=0,K218&gt;0)),1,IF((AND(L218=0,K218&lt;0)),-1,M218/ABS(L218))))),"",(IF(M218=0,0,IF((AND(L218=0,K218&gt;0)),1,IF((AND(L218=0,K218&lt;0)),-1,M218/ABS(L218))))))</f>
        <v/>
      </c>
      <c r="O218" s="108" t="str">
        <f>IF(L218="","",IF(OR((ABS(M218)&gt;19800000),AND(ABS(M218)&gt;9900000,ABS(N218)&gt;0.1)),"YES","-"))</f>
        <v/>
      </c>
    </row>
    <row r="219" spans="1:15" ht="12">
      <c r="A219" s="51" t="s">
        <v>65</v>
      </c>
      <c r="B219" s="50"/>
      <c r="C219" s="50"/>
      <c r="D219" s="50"/>
      <c r="E219" s="50"/>
      <c r="K219" s="47"/>
      <c r="L219" s="8" t="str">
        <f>IF(ISNA(HLOOKUP($G$2,'Prior Year Amounts'!$K$32:$AK$245,180,FALSE)),"",(HLOOKUP($G$2,'Prior Year Amounts'!$K$32:$AK$245,180,FALSE)))</f>
        <v/>
      </c>
      <c r="M219" s="8" t="str">
        <f>IF(ISERR(K219-L219),"",(K219-L219))</f>
        <v/>
      </c>
      <c r="N219" s="108" t="str">
        <f>IF(ISERR(IF(M219=0,0,IF((AND(L219=0,K219&gt;0)),1,IF((AND(L219=0,K219&lt;0)),-1,M219/ABS(L219))))),"",(IF(M219=0,0,IF((AND(L219=0,K219&gt;0)),1,IF((AND(L219=0,K219&lt;0)),-1,M219/ABS(L219))))))</f>
        <v/>
      </c>
      <c r="O219" s="108" t="str">
        <f>IF(L219="","",IF(OR((ABS(M219)&gt;19800000),AND(ABS(M219)&gt;9900000,ABS(N219)&gt;0.1)),"YES","-"))</f>
        <v/>
      </c>
    </row>
    <row r="220" spans="1:15" ht="12">
      <c r="A220" s="53" t="s">
        <v>39</v>
      </c>
      <c r="B220" s="50"/>
      <c r="C220" s="50"/>
      <c r="D220" s="50"/>
      <c r="E220" s="50"/>
      <c r="K220" s="15"/>
      <c r="L220" s="8" t="str">
        <f>IF(ISNA(HLOOKUP($G$2,'Prior Year Amounts'!$K$32:$AK$245,181,FALSE)),"",(HLOOKUP($G$2,'Prior Year Amounts'!$K$32:$AK$245,181,FALSE)))</f>
        <v/>
      </c>
      <c r="M220" s="8" t="str">
        <f>IF(ISERR(K220-L220),"",(K220-L220))</f>
        <v/>
      </c>
      <c r="N220" s="108" t="str">
        <f>IF(ISERR(IF(M220=0,0,IF((AND(L220=0,K220&gt;0)),1,IF((AND(L220=0,K220&lt;0)),-1,M220/ABS(L220))))),"",(IF(M220=0,0,IF((AND(L220=0,K220&gt;0)),1,IF((AND(L220=0,K220&lt;0)),-1,M220/ABS(L220))))))</f>
        <v/>
      </c>
      <c r="O220" s="108" t="str">
        <f>IF(L220="","",IF(OR((ABS(M220)&gt;19800000),AND(ABS(M220)&gt;9900000,ABS(N220)&gt;0.1)),"YES","-"))</f>
        <v/>
      </c>
    </row>
    <row r="221" spans="1:15" ht="12">
      <c r="A221" s="50"/>
      <c r="B221" s="50" t="s">
        <v>372</v>
      </c>
      <c r="C221" s="50"/>
      <c r="D221" s="50"/>
      <c r="E221" s="50"/>
      <c r="K221" s="13">
        <f>SUM(K217:K220)</f>
        <v>0</v>
      </c>
      <c r="L221" s="13">
        <f>SUM(L217:L220)</f>
        <v>0</v>
      </c>
      <c r="M221" s="13">
        <f>SUM(M217:M220)</f>
        <v>0</v>
      </c>
      <c r="N221" s="133">
        <f>IF(M221=0,0,IF((AND(L221=0,K221&gt;0)),1,IF((AND(L221=0,K221&lt;0)),-1,M221/ABS(L221))))</f>
        <v>0</v>
      </c>
      <c r="O221" s="108"/>
    </row>
    <row r="222" spans="1:15" ht="12">
      <c r="A222" s="50"/>
      <c r="B222" s="50"/>
      <c r="C222" s="50"/>
      <c r="D222" s="50"/>
      <c r="E222" s="50"/>
      <c r="L222" s="8"/>
      <c r="M222" s="8"/>
      <c r="N222" s="108"/>
      <c r="O222" s="108"/>
    </row>
    <row r="223" spans="1:15" ht="12">
      <c r="A223" s="49" t="s">
        <v>474</v>
      </c>
      <c r="B223" s="50"/>
      <c r="C223" s="50"/>
      <c r="D223" s="50"/>
      <c r="E223" s="50"/>
      <c r="L223" s="8"/>
      <c r="M223" s="8"/>
      <c r="N223" s="108"/>
      <c r="O223" s="108"/>
    </row>
    <row r="224" spans="1:15" ht="12">
      <c r="A224" s="51" t="s">
        <v>371</v>
      </c>
      <c r="B224" s="50"/>
      <c r="C224" s="50"/>
      <c r="D224" s="50"/>
      <c r="E224" s="50"/>
      <c r="K224" s="15"/>
      <c r="L224" s="8" t="str">
        <f>IF(ISNA(HLOOKUP($G$2,'Prior Year Amounts'!$K$32:$AK$245,185,FALSE)),"",(HLOOKUP($G$2,'Prior Year Amounts'!$K$32:$AK$245,185,FALSE)))</f>
        <v/>
      </c>
      <c r="M224" s="8" t="str">
        <f>IF(ISERR(K224-L224),"",(K224-L224))</f>
        <v/>
      </c>
      <c r="N224" s="108" t="str">
        <f>IF(ISERR(IF(M224=0,0,IF((AND(L224=0,K224&gt;0)),1,IF((AND(L224=0,K224&lt;0)),-1,M224/ABS(L224))))),"",(IF(M224=0,0,IF((AND(L224=0,K224&gt;0)),1,IF((AND(L224=0,K224&lt;0)),-1,M224/ABS(L224))))))</f>
        <v/>
      </c>
      <c r="O224" s="108" t="str">
        <f>IF(L224="","",IF(OR((ABS(M224)&gt;19800000),AND(ABS(M224)&gt;9900000,ABS(N224)&gt;0.1)),"YES","-"))</f>
        <v/>
      </c>
    </row>
    <row r="225" spans="1:27" ht="12">
      <c r="A225" s="50" t="s">
        <v>347</v>
      </c>
      <c r="B225" s="50"/>
      <c r="C225" s="50"/>
      <c r="D225" s="50"/>
      <c r="E225" s="50"/>
      <c r="K225" s="15"/>
      <c r="L225" s="8" t="str">
        <f>IF(ISNA(HLOOKUP($G$2,'Prior Year Amounts'!$K$32:$AK$245,186,FALSE)),"",(HLOOKUP($G$2,'Prior Year Amounts'!$K$32:$AK$245,186,FALSE)))</f>
        <v/>
      </c>
      <c r="M225" s="8" t="str">
        <f>IF(ISERR(K225-L225),"",(K225-L225))</f>
        <v/>
      </c>
      <c r="N225" s="108" t="str">
        <f>IF(ISERR(IF(M225=0,0,IF((AND(L225=0,K225&gt;0)),1,IF((AND(L225=0,K225&lt;0)),-1,M225/ABS(L225))))),"",(IF(M225=0,0,IF((AND(L225=0,K225&gt;0)),1,IF((AND(L225=0,K225&lt;0)),-1,M225/ABS(L225))))))</f>
        <v/>
      </c>
      <c r="O225" s="108" t="str">
        <f>IF(L225="","",IF(OR((ABS(M225)&gt;19800000),AND(ABS(M225)&gt;9900000,ABS(N225)&gt;0.1)),"YES","-"))</f>
        <v/>
      </c>
    </row>
    <row r="226" spans="1:27" ht="12">
      <c r="A226" s="53" t="s">
        <v>38</v>
      </c>
      <c r="B226" s="50"/>
      <c r="C226" s="50"/>
      <c r="D226" s="50"/>
      <c r="E226" s="50"/>
      <c r="K226" s="47"/>
      <c r="L226" s="8" t="str">
        <f>IF(ISNA(HLOOKUP($G$2,'Prior Year Amounts'!$K$32:$AK$245,187,FALSE)),"",(HLOOKUP($G$2,'Prior Year Amounts'!$K$32:$AK$245,187,FALSE)))</f>
        <v/>
      </c>
      <c r="M226" s="8" t="str">
        <f>IF(ISERR(K226-L226),"",(K226-L226))</f>
        <v/>
      </c>
      <c r="N226" s="108" t="str">
        <f>IF(ISERR(IF(M226=0,0,IF((AND(L226=0,K226&gt;0)),1,IF((AND(L226=0,K226&lt;0)),-1,M226/ABS(L226))))),"",(IF(M226=0,0,IF((AND(L226=0,K226&gt;0)),1,IF((AND(L226=0,K226&lt;0)),-1,M226/ABS(L226))))))</f>
        <v/>
      </c>
      <c r="O226" s="108" t="str">
        <f>IF(L226="","",IF(OR((ABS(M226)&gt;19800000),AND(ABS(M226)&gt;9900000,ABS(N226)&gt;0.1)),"YES","-"))</f>
        <v/>
      </c>
    </row>
    <row r="227" spans="1:27" ht="12">
      <c r="A227" s="50"/>
      <c r="B227" s="50" t="s">
        <v>459</v>
      </c>
      <c r="C227" s="50"/>
      <c r="D227" s="50"/>
      <c r="E227" s="50"/>
      <c r="K227" s="13">
        <f>SUM(K224:K226)</f>
        <v>0</v>
      </c>
      <c r="L227" s="13">
        <f>SUM(L224:L226)</f>
        <v>0</v>
      </c>
      <c r="M227" s="13">
        <f>K227-L227</f>
        <v>0</v>
      </c>
      <c r="N227" s="133">
        <f>IF(M227=0,0,IF((AND(L227=0,K227&gt;0)),1,IF((AND(L227=0,K227&lt;0)),-1,M227/ABS(L227))))</f>
        <v>0</v>
      </c>
      <c r="O227" s="108"/>
    </row>
    <row r="228" spans="1:27" ht="12">
      <c r="A228" s="50"/>
      <c r="B228" s="50"/>
      <c r="C228" s="50"/>
      <c r="D228" s="50"/>
      <c r="E228" s="50"/>
      <c r="L228" s="8"/>
      <c r="M228" s="8"/>
      <c r="N228" s="108"/>
      <c r="O228" s="108"/>
    </row>
    <row r="229" spans="1:27" ht="12">
      <c r="A229" s="49" t="s">
        <v>370</v>
      </c>
      <c r="B229" s="50"/>
      <c r="C229" s="50"/>
      <c r="D229" s="50"/>
      <c r="E229" s="50"/>
      <c r="K229" s="13">
        <f>K221-K227</f>
        <v>0</v>
      </c>
      <c r="L229" s="13">
        <f>L221-L227</f>
        <v>0</v>
      </c>
      <c r="M229" s="13">
        <f>K229-L229</f>
        <v>0</v>
      </c>
      <c r="N229" s="133">
        <f>IF(M229=0,0,IF((AND(L229=0,K229&gt;0)),1,IF((AND(L229=0,K229&lt;0)),-1,M229/ABS(L229))))</f>
        <v>0</v>
      </c>
      <c r="O229" s="108"/>
    </row>
    <row r="230" spans="1:27" ht="12" hidden="1">
      <c r="A230" s="50"/>
      <c r="B230" s="50"/>
      <c r="C230" s="50"/>
      <c r="D230" s="50"/>
      <c r="E230" s="50"/>
      <c r="L230" s="8"/>
      <c r="M230" s="8">
        <f>K230-L230</f>
        <v>0</v>
      </c>
      <c r="N230" s="108" t="str">
        <f>IF(M230=0,"0%",M230/ABS(L230))</f>
        <v>0%</v>
      </c>
      <c r="O230" s="108"/>
    </row>
    <row r="231" spans="1:27" ht="12">
      <c r="A231" s="50"/>
      <c r="B231" s="50"/>
      <c r="C231" s="50"/>
      <c r="D231" s="50"/>
      <c r="E231" s="50"/>
      <c r="L231" s="8"/>
      <c r="M231" s="8"/>
      <c r="N231" s="108"/>
      <c r="O231" s="108"/>
    </row>
    <row r="232" spans="1:27" ht="12">
      <c r="A232" s="49" t="s">
        <v>153</v>
      </c>
      <c r="B232" s="50"/>
      <c r="C232" s="50"/>
      <c r="D232" s="50"/>
      <c r="E232" s="50"/>
      <c r="L232" s="8"/>
      <c r="M232" s="8"/>
      <c r="N232" s="108"/>
      <c r="O232" s="108"/>
    </row>
    <row r="233" spans="1:27" ht="12">
      <c r="A233" s="50"/>
      <c r="B233" s="51" t="s">
        <v>447</v>
      </c>
      <c r="C233" s="50"/>
      <c r="D233" s="50"/>
      <c r="E233" s="50"/>
      <c r="K233" s="15"/>
      <c r="L233" s="8" t="str">
        <f>IF(ISNA(HLOOKUP($G$2,'Prior Year Amounts'!$K$32:$AK$245,194,FALSE)),"",(HLOOKUP($G$2,'Prior Year Amounts'!$K$32:$AK$245,194,FALSE)))</f>
        <v/>
      </c>
      <c r="M233" s="8" t="str">
        <f t="shared" ref="M233:M246" si="32">IF(ISERR(K233-L233),"",(K233-L233))</f>
        <v/>
      </c>
      <c r="N233" s="108" t="str">
        <f t="shared" ref="N233:N246" si="33">IF(ISERR(IF(M233=0,0,IF((AND(L233=0,K233&gt;0)),1,IF((AND(L233=0,K233&lt;0)),-1,M233/ABS(L233))))),"",(IF(M233=0,0,IF((AND(L233=0,K233&gt;0)),1,IF((AND(L233=0,K233&lt;0)),-1,M233/ABS(L233))))))</f>
        <v/>
      </c>
      <c r="O233" s="108" t="str">
        <f t="shared" ref="O233:O238" si="34">IF(L233="","",IF(OR((ABS(M233)&gt;19800000),AND(ABS(M233)&gt;9900000,ABS(N233)&gt;0.1)),"YES","-"))</f>
        <v/>
      </c>
    </row>
    <row r="234" spans="1:27" ht="12">
      <c r="A234" s="50"/>
      <c r="B234" s="51" t="s">
        <v>448</v>
      </c>
      <c r="C234" s="50"/>
      <c r="D234" s="50"/>
      <c r="E234" s="50"/>
      <c r="K234" s="15"/>
      <c r="L234" s="8" t="str">
        <f>IF(ISNA(HLOOKUP($G$2,'Prior Year Amounts'!$K$32:$AK$245,195,FALSE)),"",(HLOOKUP($G$2,'Prior Year Amounts'!$K$32:$AK$245,195,FALSE)))</f>
        <v/>
      </c>
      <c r="M234" s="8" t="str">
        <f t="shared" si="32"/>
        <v/>
      </c>
      <c r="N234" s="108" t="str">
        <f t="shared" si="33"/>
        <v/>
      </c>
      <c r="O234" s="108" t="str">
        <f t="shared" si="34"/>
        <v/>
      </c>
    </row>
    <row r="235" spans="1:27" ht="12">
      <c r="A235" s="50"/>
      <c r="B235" s="51" t="s">
        <v>449</v>
      </c>
      <c r="C235" s="50"/>
      <c r="D235" s="50"/>
      <c r="E235" s="50"/>
      <c r="K235" s="15"/>
      <c r="L235" s="8" t="str">
        <f>IF(ISNA(HLOOKUP($G$2,'Prior Year Amounts'!$K$32:$AK$245,196,FALSE)),"",(HLOOKUP($G$2,'Prior Year Amounts'!$K$32:$AK$245,196,FALSE)))</f>
        <v/>
      </c>
      <c r="M235" s="8" t="str">
        <f t="shared" si="32"/>
        <v/>
      </c>
      <c r="N235" s="108" t="str">
        <f t="shared" si="33"/>
        <v/>
      </c>
      <c r="O235" s="108" t="str">
        <f t="shared" si="34"/>
        <v/>
      </c>
    </row>
    <row r="236" spans="1:27" ht="12">
      <c r="A236" s="50"/>
      <c r="B236" s="53" t="s">
        <v>39</v>
      </c>
      <c r="C236" s="50"/>
      <c r="D236" s="50"/>
      <c r="E236" s="50"/>
      <c r="K236" s="15"/>
      <c r="L236" s="8" t="str">
        <f>IF(ISNA(HLOOKUP($G$2,'Prior Year Amounts'!$K$32:$AK$245,197,FALSE)),"",(HLOOKUP($G$2,'Prior Year Amounts'!$K$32:$AK$245,197,FALSE)))</f>
        <v/>
      </c>
      <c r="M236" s="8" t="str">
        <f t="shared" si="32"/>
        <v/>
      </c>
      <c r="N236" s="108" t="str">
        <f t="shared" si="33"/>
        <v/>
      </c>
      <c r="O236" s="108" t="str">
        <f t="shared" si="34"/>
        <v/>
      </c>
    </row>
    <row r="237" spans="1:27" ht="12">
      <c r="A237" s="50"/>
      <c r="B237" s="51" t="s">
        <v>462</v>
      </c>
      <c r="C237" s="50"/>
      <c r="D237" s="50"/>
      <c r="E237" s="50"/>
      <c r="K237" s="15"/>
      <c r="L237" s="8" t="str">
        <f>IF(ISNA(HLOOKUP($G$2,'Prior Year Amounts'!$K$32:$AK$245,198,FALSE)),"",(HLOOKUP($G$2,'Prior Year Amounts'!$K$32:$AK$245,198,FALSE)))</f>
        <v/>
      </c>
      <c r="M237" s="8" t="str">
        <f t="shared" si="32"/>
        <v/>
      </c>
      <c r="N237" s="108" t="str">
        <f t="shared" si="33"/>
        <v/>
      </c>
      <c r="O237" s="108" t="str">
        <f t="shared" si="34"/>
        <v/>
      </c>
    </row>
    <row r="238" spans="1:27" ht="12">
      <c r="A238" s="50"/>
      <c r="B238" s="51" t="s">
        <v>361</v>
      </c>
      <c r="C238" s="50"/>
      <c r="D238" s="50"/>
      <c r="E238" s="50"/>
      <c r="K238" s="15"/>
      <c r="L238" s="8" t="str">
        <f>IF(ISNA(HLOOKUP($G$2,'Prior Year Amounts'!$K$32:$AK$245,199,FALSE)),"",(HLOOKUP($G$2,'Prior Year Amounts'!$K$32:$AK$245,199,FALSE)))</f>
        <v/>
      </c>
      <c r="M238" s="8" t="str">
        <f t="shared" si="32"/>
        <v/>
      </c>
      <c r="N238" s="108" t="str">
        <f t="shared" si="33"/>
        <v/>
      </c>
      <c r="O238" s="108" t="str">
        <f t="shared" si="34"/>
        <v/>
      </c>
    </row>
    <row r="239" spans="1:27" s="421" customFormat="1" ht="12" hidden="1" customHeight="1">
      <c r="A239" s="335"/>
      <c r="B239" s="536" t="s">
        <v>450</v>
      </c>
      <c r="C239" s="335"/>
      <c r="D239" s="335"/>
      <c r="E239" s="335"/>
      <c r="J239" s="537"/>
      <c r="K239" s="538"/>
      <c r="L239" s="539"/>
      <c r="M239" s="539"/>
      <c r="N239" s="540"/>
      <c r="O239" s="540" t="str">
        <f t="shared" ref="O239:O244" si="35">IF(L239="","",IF(OR((ABS(M239)&gt;20400000),AND(ABS(M239)&gt;10200000,ABS(N239)&gt;0.1)),"YES","-"))</f>
        <v/>
      </c>
      <c r="AA239" s="541"/>
    </row>
    <row r="240" spans="1:27" s="421" customFormat="1" ht="12" hidden="1" customHeight="1">
      <c r="A240" s="335"/>
      <c r="B240" s="536" t="s">
        <v>396</v>
      </c>
      <c r="C240" s="335"/>
      <c r="D240" s="335"/>
      <c r="E240" s="335"/>
      <c r="J240" s="537"/>
      <c r="K240" s="538"/>
      <c r="L240" s="539"/>
      <c r="M240" s="539"/>
      <c r="N240" s="540"/>
      <c r="O240" s="540" t="str">
        <f t="shared" si="35"/>
        <v/>
      </c>
      <c r="AA240" s="541"/>
    </row>
    <row r="241" spans="1:15" ht="12">
      <c r="A241" s="50"/>
      <c r="B241" s="51" t="s">
        <v>485</v>
      </c>
      <c r="C241" s="50"/>
      <c r="D241" s="50"/>
      <c r="E241" s="50"/>
      <c r="G241" s="548" t="str">
        <f>IF(K241&lt;&gt;0,"Answer Required","N/A")</f>
        <v>N/A</v>
      </c>
      <c r="H241" s="549" t="str">
        <f>IF(J241&lt;&gt;0,"Answer Required","N/A")</f>
        <v>N/A</v>
      </c>
      <c r="I241" s="550" t="str">
        <f>IF(K241&lt;&gt;0,"Answer Required","N/A")</f>
        <v>N/A</v>
      </c>
      <c r="K241" s="15"/>
      <c r="L241" s="8" t="str">
        <f>IF(ISNA(HLOOKUP($G$2,'Prior Year Amounts'!$K$32:$AK$245,202,FALSE)),"",(HLOOKUP($G$2,'Prior Year Amounts'!$K$32:$AK$245,202,FALSE)))</f>
        <v/>
      </c>
      <c r="M241" s="8" t="str">
        <f t="shared" si="32"/>
        <v/>
      </c>
      <c r="N241" s="108" t="str">
        <f t="shared" si="33"/>
        <v/>
      </c>
      <c r="O241" s="108" t="str">
        <f>IF(L241="","",IF(OR((ABS(M241)&gt;19800000),AND(ABS(M241)&gt;9900000,ABS(N241)&gt;0.1)),"YES","-"))</f>
        <v/>
      </c>
    </row>
    <row r="242" spans="1:15" ht="12">
      <c r="A242" s="50"/>
      <c r="B242" s="51" t="s">
        <v>512</v>
      </c>
      <c r="C242" s="50"/>
      <c r="D242" s="50"/>
      <c r="E242" s="50"/>
      <c r="G242" s="548" t="str">
        <f>IF(K242&lt;&gt;0,"Answer Required","N/A")</f>
        <v>N/A</v>
      </c>
      <c r="H242" s="549" t="str">
        <f>IF(J242&lt;&gt;0,"Answer Required","N/A")</f>
        <v>N/A</v>
      </c>
      <c r="I242" s="550" t="str">
        <f>IF(K242&lt;&gt;0,"Answer Required","N/A")</f>
        <v>N/A</v>
      </c>
      <c r="K242" s="15"/>
      <c r="L242" s="8" t="str">
        <f>IF(ISNA(HLOOKUP($G$2,'Prior Year Amounts'!$K$32:$AK$245,203,FALSE)),"",(HLOOKUP($G$2,'Prior Year Amounts'!$K$32:$AK$245,203,FALSE)))</f>
        <v/>
      </c>
      <c r="M242" s="8" t="str">
        <f t="shared" si="32"/>
        <v/>
      </c>
      <c r="N242" s="108" t="str">
        <f t="shared" si="33"/>
        <v/>
      </c>
      <c r="O242" s="108" t="str">
        <f>IF(L242="","",IF(OR((ABS(M242)&gt;19800000),AND(ABS(M242)&gt;9900000,ABS(N242)&gt;0.1)),"YES","-"))</f>
        <v/>
      </c>
    </row>
    <row r="243" spans="1:15" ht="12" hidden="1">
      <c r="A243" s="50"/>
      <c r="B243" s="50" t="s">
        <v>452</v>
      </c>
      <c r="C243" s="50"/>
      <c r="D243" s="50"/>
      <c r="E243" s="50"/>
      <c r="K243" s="15"/>
      <c r="L243" s="8" t="str">
        <f>IF(ISNA(HLOOKUP($G$2,'Prior Year Amounts'!$K$32:$AK$245,202,FALSE)),"",(HLOOKUP($G$2,'Prior Year Amounts'!$K$32:$AK$245,202,FALSE)))</f>
        <v/>
      </c>
      <c r="M243" s="8" t="str">
        <f t="shared" si="32"/>
        <v/>
      </c>
      <c r="N243" s="108" t="str">
        <f t="shared" si="33"/>
        <v/>
      </c>
      <c r="O243" s="108" t="str">
        <f t="shared" si="35"/>
        <v/>
      </c>
    </row>
    <row r="244" spans="1:15" ht="1.5" hidden="1" customHeight="1">
      <c r="A244" s="50"/>
      <c r="B244" s="50"/>
      <c r="C244" s="50"/>
      <c r="D244" s="50"/>
      <c r="E244" s="50"/>
      <c r="K244" s="384"/>
      <c r="L244" s="8" t="str">
        <f>IF(ISNA(HLOOKUP($G$2,'Prior Year Amounts'!$K$32:$AK$245,203,FALSE)),"",(HLOOKUP($G$2,'Prior Year Amounts'!$K$32:$AK$245,203,FALSE)))</f>
        <v/>
      </c>
      <c r="M244" s="8" t="str">
        <f t="shared" si="32"/>
        <v/>
      </c>
      <c r="N244" s="108" t="str">
        <f t="shared" si="33"/>
        <v/>
      </c>
      <c r="O244" s="108" t="str">
        <f t="shared" si="35"/>
        <v/>
      </c>
    </row>
    <row r="245" spans="1:15" ht="12">
      <c r="A245" s="50"/>
      <c r="B245" s="51" t="s">
        <v>814</v>
      </c>
      <c r="C245" s="50"/>
      <c r="D245" s="50"/>
      <c r="E245" s="50"/>
      <c r="K245" s="95"/>
      <c r="L245" s="8" t="str">
        <f>IF(ISNA(HLOOKUP($G$2,'Prior Year Amounts'!$K$32:$AK$245,206,FALSE)),"",(HLOOKUP($G$2,'Prior Year Amounts'!$K$32:$AK$245,206,FALSE)))</f>
        <v/>
      </c>
      <c r="M245" s="8" t="str">
        <f t="shared" si="32"/>
        <v/>
      </c>
      <c r="N245" s="108" t="str">
        <f t="shared" si="33"/>
        <v/>
      </c>
      <c r="O245" s="108" t="str">
        <f>IF(L245="","",IF(OR((ABS(M245)&gt;19800000),AND(ABS(M245)&gt;9900000,ABS(N245)&gt;0.1)),"YES","-"))</f>
        <v/>
      </c>
    </row>
    <row r="246" spans="1:15" ht="12" hidden="1">
      <c r="A246" s="50"/>
      <c r="B246" s="51" t="s">
        <v>169</v>
      </c>
      <c r="C246" s="50"/>
      <c r="D246" s="50"/>
      <c r="E246" s="50"/>
      <c r="K246" s="135"/>
      <c r="L246" s="8" t="str">
        <f>IF(ISNA(HLOOKUP($G$2,'Prior Year Amounts'!$K$32:$AK$245,205,FALSE)),"",(HLOOKUP($G$2,'Prior Year Amounts'!$K$32:$AK$245,205,FALSE)))</f>
        <v/>
      </c>
      <c r="M246" s="8" t="str">
        <f t="shared" si="32"/>
        <v/>
      </c>
      <c r="N246" s="108" t="str">
        <f t="shared" si="33"/>
        <v/>
      </c>
      <c r="O246" s="108" t="str">
        <f t="shared" ref="O246" si="36">IF(ISERR(IF(OR((ABS(M246)&gt;17000000),AND(ABS(M246)&gt;8500000,ABS(N246)&gt;0.1),AND(ABS(K246)=0,ABS(L246)&gt;0),AND(ABS(K246)&gt;0,ABS(L246)=0)),"YES","-")),"",(IF(OR((ABS(M246)&gt;17000000),AND(ABS(M246)&gt;8500000,ABS(N246)&gt;0.1),AND(ABS(K246)=0,ABS(L246)&gt;0),AND(ABS(K246)&gt;0,ABS(L246)=0)),"YES","-")))</f>
        <v/>
      </c>
    </row>
    <row r="247" spans="1:15" ht="12">
      <c r="A247" s="50"/>
      <c r="B247" s="50"/>
      <c r="C247" s="50" t="s">
        <v>451</v>
      </c>
      <c r="D247" s="50"/>
      <c r="E247" s="50"/>
      <c r="K247" s="13">
        <f>SUM(K233:K246)</f>
        <v>0</v>
      </c>
      <c r="L247" s="13">
        <f>IF(ISNA(SUM(L233:L246)),"",(SUM(L233:L246)))</f>
        <v>0</v>
      </c>
      <c r="M247" s="13">
        <f>IF(ISERR(K247-L247),"",(K247-L247))</f>
        <v>0</v>
      </c>
      <c r="N247" s="133">
        <f>IF(ISERR(IF(M247=0,0,IF((AND(L247=0,K247&gt;0)),1,IF((AND(L247=0,K247&lt;0)),-1,M247/ABS(L247))))),"",(IF(M247=0,0,IF((AND(L247=0,K247&gt;0)),1,IF((AND(L247=0,K247&lt;0)),-1,M247/ABS(L247))))))</f>
        <v>0</v>
      </c>
      <c r="O247" s="108"/>
    </row>
    <row r="248" spans="1:15" ht="12">
      <c r="A248" s="50"/>
      <c r="B248" s="50"/>
      <c r="C248" s="50"/>
      <c r="D248" s="50"/>
      <c r="E248" s="50"/>
      <c r="L248" s="8"/>
      <c r="M248" s="8"/>
      <c r="N248" s="8"/>
      <c r="O248" s="108"/>
    </row>
    <row r="249" spans="1:15" ht="12">
      <c r="A249" s="51" t="s">
        <v>546</v>
      </c>
      <c r="B249" s="50"/>
      <c r="C249" s="50"/>
      <c r="D249" s="50"/>
      <c r="E249" s="50"/>
      <c r="K249" s="13">
        <f>K229+K247</f>
        <v>0</v>
      </c>
      <c r="L249" s="13">
        <f>IF(ISERR(L229+L247),"",(L229+L247))</f>
        <v>0</v>
      </c>
      <c r="M249" s="13">
        <f>IF(ISERR(K249-L249),"",(K249-L249))</f>
        <v>0</v>
      </c>
      <c r="N249" s="133">
        <f>IF(ISERR(IF(M249=0,0,IF((AND(L249=0,K249&gt;0)),1,IF((AND(L249=0,K249&lt;0)),-1,M249/ABS(L249))))),"",(IF(M249=0,0,IF((AND(L249=0,K249&gt;0)),1,IF((AND(L249=0,K249&lt;0)),-1,M249/ABS(L249))))))</f>
        <v>0</v>
      </c>
      <c r="O249" s="108"/>
    </row>
    <row r="250" spans="1:15" ht="12">
      <c r="A250" s="50"/>
      <c r="B250" s="50"/>
      <c r="C250" s="50"/>
      <c r="D250" s="50"/>
      <c r="E250" s="50"/>
      <c r="L250" s="8"/>
      <c r="M250" s="8"/>
      <c r="N250" s="8"/>
      <c r="O250" s="108"/>
    </row>
    <row r="251" spans="1:15" ht="12">
      <c r="A251" s="51" t="s">
        <v>547</v>
      </c>
      <c r="B251" s="50"/>
      <c r="C251" s="50"/>
      <c r="D251" s="50"/>
      <c r="E251" s="50"/>
      <c r="J251" s="58" t="s">
        <v>74</v>
      </c>
      <c r="K251" s="13">
        <f>IF(ISNA('Tab 6 - Restatements'!D31),"",('Tab 6 - Restatements'!D31))</f>
        <v>0</v>
      </c>
      <c r="L251" s="13" t="str">
        <f>IF(ISNA(HLOOKUP($G$2,'Prior Year Amounts'!$K$32:$AK$245,212,FALSE)),"",(HLOOKUP($G$2,'Prior Year Amounts'!$K$32:$AK$245,212,FALSE)))</f>
        <v/>
      </c>
      <c r="M251" s="13" t="str">
        <f>IF(ISERR(K251-L251),"",(K251-L251))</f>
        <v/>
      </c>
      <c r="N251" s="133" t="str">
        <f>IF(ISERR(IF(M251=0,0,IF((AND(L251=0,K251&gt;0)),1,IF((AND(L251=0,K251&lt;0)),-1,M251/ABS(L251))))),"",(IF(M251=0,0,IF((AND(L251=0,K251&gt;0)),1,IF((AND(L251=0,K251&lt;0)),-1,M251/ABS(L251))))))</f>
        <v/>
      </c>
      <c r="O251" s="108"/>
    </row>
    <row r="252" spans="1:15" ht="12">
      <c r="A252" s="50"/>
      <c r="B252" s="50"/>
      <c r="C252" s="50"/>
      <c r="D252" s="50"/>
      <c r="E252" s="50"/>
      <c r="J252" s="57"/>
      <c r="L252" s="8"/>
      <c r="M252" s="8"/>
      <c r="N252" s="8"/>
      <c r="O252" s="108"/>
    </row>
    <row r="253" spans="1:15" ht="12.75" thickBot="1">
      <c r="A253" s="51" t="s">
        <v>548</v>
      </c>
      <c r="B253" s="50"/>
      <c r="C253" s="50"/>
      <c r="D253" s="50"/>
      <c r="E253" s="50"/>
      <c r="J253" s="58"/>
      <c r="K253" s="134">
        <f>IF(SUM(K249,K251)=K206,SUM(K249,K251),"ERROR")</f>
        <v>0</v>
      </c>
      <c r="L253" s="134" t="str">
        <f>IF(G1="","",(IF(SUM(L249,L251)=L206,SUM(L249,L251),"ERROR")))</f>
        <v/>
      </c>
      <c r="M253" s="134" t="str">
        <f>IF(ISERR(K253-L253),"",(K253-L253))</f>
        <v/>
      </c>
      <c r="N253" s="134" t="str">
        <f>IF(ISERR(IF(M253=0,0,IF((AND(L253=0,K253&gt;0)),1,IF((AND(L253=0,K253&lt;0)),-1,M253/ABS(L253))))),"",(IF(M253=0,0,IF((AND(L253=0,K253&gt;0)),1,IF((AND(L253=0,K253&lt;0)),-1,M253/ABS(L253))))))</f>
        <v/>
      </c>
      <c r="O253" s="108"/>
    </row>
    <row r="254" spans="1:15" ht="12.75" thickTop="1">
      <c r="A254" s="50"/>
      <c r="B254" s="50"/>
      <c r="C254" s="50"/>
      <c r="D254" s="50"/>
      <c r="E254" s="50"/>
      <c r="J254" s="137" t="s">
        <v>48</v>
      </c>
      <c r="K254" s="136">
        <f>SUM(K249,K251)-K206</f>
        <v>0</v>
      </c>
    </row>
    <row r="255" spans="1:15" ht="12">
      <c r="A255" s="50"/>
      <c r="B255" s="50"/>
      <c r="C255" s="50"/>
      <c r="D255" s="50"/>
      <c r="E255" s="50"/>
    </row>
    <row r="261" hidden="1"/>
    <row r="262" hidden="1"/>
    <row r="263" hidden="1"/>
    <row r="264" hidden="1"/>
  </sheetData>
  <sheetProtection algorithmName="SHA-512" hashValue="XoDgWah59XT/SOZxc64MRwM7vic7TScJOxFaGn+IyM/uM1GWo0whUFpL2xWjl/CdrBNlpn1MiBJTCS+5ceck6g==" saltValue="RlmRsC5wzPg9eGMkfuI2FQ==" spinCount="100000" sheet="1" objects="1" scenarios="1"/>
  <customSheetViews>
    <customSheetView guid="{21549FED-0843-409C-B56D-2EB16B98EF5E}" showGridLines="0" hiddenRows="1" hiddenColumns="1" topLeftCell="A40">
      <selection activeCell="A36" sqref="A36"/>
      <rowBreaks count="2" manualBreakCount="2">
        <brk id="119" max="15" man="1"/>
        <brk id="206" max="16383" man="1"/>
      </rowBreaks>
      <pageMargins left="0.25" right="0.25" top="0.65" bottom="0.78" header="0.27" footer="0.38"/>
      <pageSetup scale="56" orientation="portrait" cellComments="asDisplayed" r:id="rId1"/>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83B11BDE-9087-4120-8F71-87939A6C277C}" scale="85" showPageBreaks="1" showGridLines="0" printArea="1" hiddenRows="1" view="pageBreakPreview" topLeftCell="A223">
      <selection activeCell="N256" sqref="N256"/>
      <rowBreaks count="2" manualBreakCount="2">
        <brk id="119" max="15" man="1"/>
        <brk id="206" max="16383" man="1"/>
      </rowBreaks>
      <pageMargins left="0.25" right="0.25" top="0.65" bottom="0.78" header="0.27" footer="0.38"/>
      <pageSetup scale="56" orientation="portrait" cellComments="asDisplayed" r:id="rId2"/>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5A69DEB5-9E8B-40C6-849E-49B804F6ED86}" scale="85" showPageBreaks="1" showGridLines="0" printArea="1" hiddenRows="1" view="pageBreakPreview" topLeftCell="A223">
      <selection activeCell="N256" sqref="N256"/>
      <rowBreaks count="2" manualBreakCount="2">
        <brk id="119" max="15" man="1"/>
        <brk id="206" max="16383" man="1"/>
      </rowBreaks>
      <pageMargins left="0.25" right="0.25" top="0.65" bottom="0.78" header="0.27" footer="0.38"/>
      <pageSetup scale="56" orientation="portrait" cellComments="asDisplayed" r:id="rId3"/>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C3905544-E3E5-4318-8AA2-F7DE16A9B8E7}" scale="85" showPageBreaks="1" showGridLines="0" printArea="1" hiddenRows="1" view="pageBreakPreview" topLeftCell="A223">
      <selection activeCell="N256" sqref="N256"/>
      <rowBreaks count="2" manualBreakCount="2">
        <brk id="119" max="15" man="1"/>
        <brk id="206" max="16383" man="1"/>
      </rowBreaks>
      <pageMargins left="0.25" right="0.25" top="0.65" bottom="0.78" header="0.27" footer="0.38"/>
      <pageSetup scale="56" orientation="portrait" cellComments="asDisplayed" r:id="rId4"/>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s>
  <mergeCells count="35">
    <mergeCell ref="G6:J6"/>
    <mergeCell ref="O212:O215"/>
    <mergeCell ref="G123:J123"/>
    <mergeCell ref="G124:J124"/>
    <mergeCell ref="G210:J210"/>
    <mergeCell ref="G215:I215"/>
    <mergeCell ref="G129:I129"/>
    <mergeCell ref="G140:I140"/>
    <mergeCell ref="G139:I139"/>
    <mergeCell ref="G209:J209"/>
    <mergeCell ref="O34:O37"/>
    <mergeCell ref="O126:O129"/>
    <mergeCell ref="G62:I62"/>
    <mergeCell ref="G108:I108"/>
    <mergeCell ref="G79:I79"/>
    <mergeCell ref="A81:I81"/>
    <mergeCell ref="G1:J1"/>
    <mergeCell ref="G2:J2"/>
    <mergeCell ref="G3:J3"/>
    <mergeCell ref="G4:J4"/>
    <mergeCell ref="G5:J5"/>
    <mergeCell ref="G241:I241"/>
    <mergeCell ref="G183:I183"/>
    <mergeCell ref="A10:J32"/>
    <mergeCell ref="G67:I67"/>
    <mergeCell ref="G242:I242"/>
    <mergeCell ref="G147:I147"/>
    <mergeCell ref="G135:I135"/>
    <mergeCell ref="G204:I204"/>
    <mergeCell ref="G169:I169"/>
    <mergeCell ref="G165:I165"/>
    <mergeCell ref="G65:I65"/>
    <mergeCell ref="G69:I69"/>
    <mergeCell ref="G138:I138"/>
    <mergeCell ref="G37:I37"/>
  </mergeCells>
  <phoneticPr fontId="26" type="noConversion"/>
  <conditionalFormatting sqref="G62:I62">
    <cfRule type="cellIs" dxfId="59" priority="9" operator="equal">
      <formula>"""Answer Required"""</formula>
    </cfRule>
    <cfRule type="containsText" dxfId="58" priority="10" operator="containsText" text="Answer Required">
      <formula>NOT(ISERROR(SEARCH("Answer Required",G62)))</formula>
    </cfRule>
  </conditionalFormatting>
  <conditionalFormatting sqref="G65:I65 G67:I67 G69:I69 G79:I79 G108:I108">
    <cfRule type="cellIs" dxfId="57" priority="7" operator="equal">
      <formula>"""Answer Required"""</formula>
    </cfRule>
    <cfRule type="containsText" dxfId="56" priority="8" operator="containsText" text="Answer Required">
      <formula>NOT(ISERROR(SEARCH("Answer Required",G65)))</formula>
    </cfRule>
  </conditionalFormatting>
  <conditionalFormatting sqref="G135:I135 G147:I147 G165:I165 G169:I169 G183:I183">
    <cfRule type="cellIs" dxfId="55" priority="5" operator="equal">
      <formula>"""Answer Required"""</formula>
    </cfRule>
    <cfRule type="containsText" dxfId="54" priority="6" operator="containsText" text="Answer Required">
      <formula>NOT(ISERROR(SEARCH("Answer Required",G135)))</formula>
    </cfRule>
  </conditionalFormatting>
  <conditionalFormatting sqref="G138:I140">
    <cfRule type="cellIs" dxfId="53" priority="1" operator="equal">
      <formula>"""Answer Required"""</formula>
    </cfRule>
    <cfRule type="containsText" dxfId="52" priority="2" operator="containsText" text="Answer Required">
      <formula>NOT(ISERROR(SEARCH("Answer Required",G138)))</formula>
    </cfRule>
  </conditionalFormatting>
  <conditionalFormatting sqref="G204:I204 G241:I242">
    <cfRule type="cellIs" dxfId="51" priority="3" operator="equal">
      <formula>"""Answer Required"""</formula>
    </cfRule>
    <cfRule type="containsText" dxfId="50" priority="4" operator="containsText" text="Answer Required">
      <formula>NOT(ISERROR(SEARCH("Answer Required",G204)))</formula>
    </cfRule>
  </conditionalFormatting>
  <dataValidations count="9">
    <dataValidation type="whole" allowBlank="1" showInputMessage="1" showErrorMessage="1" errorTitle="Enter a Whole Number" error="Enter a Whole Number_x000a_" sqref="K227:L227" xr:uid="{00000000-0002-0000-0000-000000000000}">
      <formula1>-9999999999</formula1>
      <formula2>9999999999</formula2>
    </dataValidation>
    <dataValidation type="whole" allowBlank="1" showInputMessage="1" showErrorMessage="1" errorTitle="Enter a Whole Number" error="Enter a Whole Number" sqref="K173:L173 K252 K151:L151" xr:uid="{00000000-0002-0000-0000-000001000000}">
      <formula1>-9999999999</formula1>
      <formula2>9999999999</formula2>
    </dataValidation>
    <dataValidation type="whole" allowBlank="1" showInputMessage="1" showErrorMessage="1" error="Enter a whole number." sqref="K198:K205 K141 K233:K236 K224:K226 K217:K220 K195 K193 K156:K165 K168:K172 K153 K146:K150 K143 K238:K246 K51:K55 K58:K62 K67 K69 K71 K73 K76:K79 K88:K94 K98:K101 K105:K108 K113 K115 K132:K135 K65 K138:K139 K40:K47 K175:K183 K111" xr:uid="{00000000-0002-0000-0000-000002000000}">
      <formula1>-9999999999999</formula1>
      <formula2>9999999999999</formula2>
    </dataValidation>
    <dataValidation type="whole" allowBlank="1" showInputMessage="1" showErrorMessage="1" error="Enter a positive whole number." sqref="K237" xr:uid="{00000000-0002-0000-0000-000003000000}">
      <formula1>0</formula1>
      <formula2>9999999999999</formula2>
    </dataValidation>
    <dataValidation type="whole" allowBlank="1" showInputMessage="1" showErrorMessage="1" error="Please enter a whole number" sqref="K188" xr:uid="{00000000-0002-0000-0000-000004000000}">
      <formula1>-99999999999999900000</formula1>
      <formula2>99999999999999900000</formula2>
    </dataValidation>
    <dataValidation allowBlank="1" showInputMessage="1" showErrorMessage="1" error="Enter an agency number between 100 to 1002." sqref="G1:J1" xr:uid="{A3BEFA22-A278-4CF8-A47A-BA9CAE26536D}"/>
    <dataValidation type="whole" allowBlank="1" showInputMessage="1" showErrorMessage="1" error="Enter a whole number_x000a_" sqref="K140" xr:uid="{00000000-0002-0000-0000-000006000000}">
      <formula1>-9999999999999</formula1>
      <formula2>9999999999999</formula2>
    </dataValidation>
    <dataValidation type="whole" allowBlank="1" showInputMessage="1" showErrorMessage="1" error="Please enter a whole number" sqref="K119" xr:uid="{00000000-0002-0000-0000-000007000000}">
      <formula1>-9.99999999999999E+21</formula1>
      <formula2>9.99999999999999E+22</formula2>
    </dataValidation>
    <dataValidation type="list" allowBlank="1" showInputMessage="1" showErrorMessage="1" error="Use drop-down list to make a selection" sqref="G2:J2" xr:uid="{00000000-0002-0000-0000-000008000000}">
      <formula1>$Z$45:$Z$48</formula1>
    </dataValidation>
  </dataValidations>
  <pageMargins left="0.75" right="0.25" top="0.65" bottom="0.78" header="0.27" footer="0.38"/>
  <pageSetup scale="53" fitToHeight="3" orientation="portrait" cellComments="asDisplayed" r:id="rId5"/>
  <headerFooter alignWithMargins="0">
    <oddHeader>&amp;C&amp;"Times New Roman,Bold"Attachment CU4 - FASB Foundations
Financial Statement Template (FST)
&amp;A</oddHeader>
    <oddFooter>&amp;L&amp;"Times New Roman,Regular"&amp;F  \  &amp;A&amp;RPage &amp;P</oddFooter>
  </headerFooter>
  <rowBreaks count="2" manualBreakCount="2">
    <brk id="122" max="14" man="1"/>
    <brk id="208" max="14" man="1"/>
  </rowBreaks>
  <legacy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74"/>
  <sheetViews>
    <sheetView showGridLines="0" zoomScaleNormal="100" zoomScaleSheetLayoutView="100" workbookViewId="0">
      <selection activeCell="B3" sqref="B3:E3"/>
    </sheetView>
  </sheetViews>
  <sheetFormatPr defaultColWidth="8.85546875" defaultRowHeight="11.25"/>
  <cols>
    <col min="1" max="1" width="31.7109375" style="1" customWidth="1"/>
    <col min="2" max="2" width="26.140625" style="1" customWidth="1"/>
    <col min="3" max="3" width="6.7109375" style="1" customWidth="1"/>
    <col min="4" max="4" width="14.5703125" style="1" customWidth="1"/>
    <col min="5" max="5" width="13.28515625" style="1" customWidth="1"/>
    <col min="6" max="6" width="3.7109375" style="1" customWidth="1"/>
    <col min="7" max="9" width="8.85546875" style="1"/>
    <col min="10" max="10" width="14.28515625" style="1" customWidth="1"/>
    <col min="11" max="16384" width="8.85546875" style="1"/>
  </cols>
  <sheetData>
    <row r="1" spans="1:11">
      <c r="A1" s="12" t="s">
        <v>392</v>
      </c>
      <c r="B1" s="785" t="str">
        <f>'Component Unit Template'!G1</f>
        <v/>
      </c>
      <c r="C1" s="786"/>
      <c r="D1" s="786"/>
      <c r="E1" s="786"/>
    </row>
    <row r="2" spans="1:11" ht="16.5" customHeight="1">
      <c r="A2" s="12" t="s">
        <v>404</v>
      </c>
      <c r="B2" s="785" t="str">
        <f>IF('Component Unit Template'!G2="","",'Component Unit Template'!G2)</f>
        <v/>
      </c>
      <c r="C2" s="786"/>
      <c r="D2" s="786"/>
      <c r="E2" s="786"/>
    </row>
    <row r="3" spans="1:11" ht="10.9" customHeight="1">
      <c r="A3" s="12" t="s">
        <v>438</v>
      </c>
      <c r="B3" s="760" t="str">
        <f>IF('Component Unit Template'!G3="","",'Component Unit Template'!G3)</f>
        <v/>
      </c>
      <c r="C3" s="761"/>
      <c r="D3" s="761"/>
      <c r="E3" s="761"/>
    </row>
    <row r="4" spans="1:11" ht="10.9" customHeight="1">
      <c r="A4" s="12" t="s">
        <v>255</v>
      </c>
      <c r="B4" s="762" t="str">
        <f>IF('Component Unit Template'!G4="","",'Component Unit Template'!G4)</f>
        <v/>
      </c>
      <c r="C4" s="763"/>
      <c r="D4" s="763"/>
      <c r="E4" s="763"/>
    </row>
    <row r="5" spans="1:11" ht="10.9" customHeight="1">
      <c r="A5" s="12" t="s">
        <v>511</v>
      </c>
      <c r="B5" s="764" t="str">
        <f>IF('Component Unit Template'!G5="","",'Component Unit Template'!G5)</f>
        <v/>
      </c>
      <c r="C5" s="765"/>
      <c r="D5" s="765"/>
      <c r="E5" s="765"/>
    </row>
    <row r="6" spans="1:11" ht="10.9" customHeight="1">
      <c r="A6" s="12" t="s">
        <v>35</v>
      </c>
      <c r="B6" s="766" t="str">
        <f>IF('Component Unit Template'!G6="","",'Component Unit Template'!G6)</f>
        <v/>
      </c>
      <c r="C6" s="788"/>
      <c r="D6" s="788"/>
      <c r="E6" s="788"/>
    </row>
    <row r="7" spans="1:11" ht="10.9" customHeight="1">
      <c r="A7" s="150"/>
      <c r="B7" s="146"/>
      <c r="C7" s="145"/>
      <c r="D7" s="145"/>
      <c r="E7" s="145"/>
    </row>
    <row r="8" spans="1:11" ht="10.9" customHeight="1">
      <c r="A8" s="151" t="s">
        <v>360</v>
      </c>
      <c r="B8" s="146"/>
      <c r="C8" s="145"/>
      <c r="D8" s="145"/>
      <c r="E8" s="145"/>
    </row>
    <row r="9" spans="1:11" ht="10.9" customHeight="1">
      <c r="A9" s="147" t="str">
        <f>'Component Unit Template'!A35</f>
        <v>For the Year Ended June 30, 2024</v>
      </c>
      <c r="B9" s="146"/>
      <c r="C9" s="145"/>
      <c r="D9" s="145"/>
      <c r="E9" s="145"/>
    </row>
    <row r="10" spans="1:11" s="482" customFormat="1" ht="173.25" hidden="1" customHeight="1">
      <c r="A10" s="796" t="s">
        <v>867</v>
      </c>
      <c r="B10" s="796"/>
      <c r="C10" s="796"/>
      <c r="D10" s="796"/>
      <c r="E10" s="796"/>
      <c r="F10" s="796"/>
      <c r="G10" s="796"/>
      <c r="H10" s="484"/>
      <c r="I10" s="484"/>
      <c r="J10" s="484"/>
      <c r="K10" s="484"/>
    </row>
    <row r="11" spans="1:11" s="482" customFormat="1" ht="15.75" hidden="1" customHeight="1">
      <c r="A11" s="483"/>
      <c r="B11" s="483"/>
      <c r="C11" s="483"/>
      <c r="D11" s="483"/>
      <c r="E11" s="483"/>
      <c r="F11" s="483"/>
      <c r="G11" s="483"/>
      <c r="H11" s="483"/>
      <c r="I11" s="483"/>
      <c r="J11" s="483"/>
      <c r="K11" s="483"/>
    </row>
    <row r="12" spans="1:11" ht="10.9" hidden="1" customHeight="1">
      <c r="A12" s="152"/>
      <c r="B12" s="146"/>
      <c r="C12" s="145"/>
      <c r="E12" s="342" t="s">
        <v>36</v>
      </c>
    </row>
    <row r="13" spans="1:11" ht="25.5" hidden="1" customHeight="1">
      <c r="A13" s="12" t="s">
        <v>868</v>
      </c>
      <c r="B13" s="146"/>
      <c r="C13" s="145"/>
      <c r="E13" s="332" t="s">
        <v>556</v>
      </c>
    </row>
    <row r="14" spans="1:11" s="482" customFormat="1" ht="12" hidden="1">
      <c r="A14" s="1"/>
      <c r="B14" s="483"/>
      <c r="C14" s="483"/>
      <c r="E14" s="483"/>
      <c r="F14" s="483"/>
      <c r="G14" s="483"/>
      <c r="H14" s="483"/>
      <c r="I14" s="483"/>
      <c r="J14" s="483"/>
      <c r="K14" s="483"/>
    </row>
    <row r="15" spans="1:11" ht="10.9" hidden="1" customHeight="1">
      <c r="A15" s="152"/>
      <c r="B15" s="146"/>
      <c r="C15" s="145"/>
      <c r="E15" s="342" t="s">
        <v>36</v>
      </c>
    </row>
    <row r="16" spans="1:11" ht="12.75" hidden="1" customHeight="1">
      <c r="A16" s="12" t="s">
        <v>869</v>
      </c>
      <c r="B16" s="146"/>
      <c r="C16" s="145"/>
      <c r="E16" s="797" t="s">
        <v>556</v>
      </c>
    </row>
    <row r="17" spans="1:7" ht="10.9" hidden="1" customHeight="1">
      <c r="A17" s="1" t="s">
        <v>604</v>
      </c>
      <c r="B17" s="146"/>
      <c r="C17" s="145"/>
      <c r="D17" s="145"/>
      <c r="E17" s="797"/>
    </row>
    <row r="18" spans="1:7" ht="10.9" hidden="1" customHeight="1">
      <c r="A18" s="1" t="s">
        <v>475</v>
      </c>
      <c r="B18" s="146"/>
      <c r="C18" s="145"/>
      <c r="D18" s="145"/>
      <c r="E18" s="145"/>
    </row>
    <row r="19" spans="1:7" ht="10.9" hidden="1" customHeight="1">
      <c r="B19" s="146"/>
      <c r="C19" s="145"/>
      <c r="D19" s="145"/>
      <c r="E19" s="145"/>
    </row>
    <row r="20" spans="1:7" ht="10.9" customHeight="1">
      <c r="A20" s="153"/>
      <c r="B20" s="154"/>
      <c r="C20" s="217"/>
      <c r="D20" s="217"/>
      <c r="E20" s="217"/>
      <c r="F20" s="217"/>
      <c r="G20" s="217"/>
    </row>
    <row r="21" spans="1:7" ht="10.9" customHeight="1">
      <c r="A21" s="150"/>
      <c r="B21" s="146"/>
      <c r="C21" s="145"/>
      <c r="D21" s="145"/>
      <c r="E21" s="145"/>
    </row>
    <row r="22" spans="1:7">
      <c r="A22" s="147" t="s">
        <v>484</v>
      </c>
      <c r="E22" s="115"/>
    </row>
    <row r="23" spans="1:7" ht="62.25" customHeight="1">
      <c r="A23" s="787" t="s">
        <v>942</v>
      </c>
      <c r="B23" s="787"/>
      <c r="C23" s="787"/>
      <c r="D23" s="787"/>
      <c r="E23" s="115"/>
    </row>
    <row r="24" spans="1:7">
      <c r="A24" s="152"/>
      <c r="E24" s="115"/>
    </row>
    <row r="25" spans="1:7">
      <c r="A25" s="745"/>
      <c r="B25" s="746"/>
      <c r="C25" s="746"/>
      <c r="D25" s="747"/>
      <c r="E25" s="115"/>
    </row>
    <row r="26" spans="1:7">
      <c r="A26" s="748"/>
      <c r="B26" s="749"/>
      <c r="C26" s="749"/>
      <c r="D26" s="750"/>
      <c r="E26" s="115"/>
    </row>
    <row r="27" spans="1:7">
      <c r="A27" s="748"/>
      <c r="B27" s="749"/>
      <c r="C27" s="749"/>
      <c r="D27" s="750"/>
      <c r="E27" s="115"/>
    </row>
    <row r="28" spans="1:7">
      <c r="A28" s="748"/>
      <c r="B28" s="749"/>
      <c r="C28" s="749"/>
      <c r="D28" s="750"/>
      <c r="E28" s="115"/>
    </row>
    <row r="29" spans="1:7">
      <c r="A29" s="748"/>
      <c r="B29" s="749"/>
      <c r="C29" s="749"/>
      <c r="D29" s="750"/>
      <c r="E29" s="115"/>
    </row>
    <row r="30" spans="1:7">
      <c r="A30" s="751"/>
      <c r="B30" s="752"/>
      <c r="C30" s="752"/>
      <c r="D30" s="753"/>
      <c r="E30" s="115"/>
    </row>
    <row r="31" spans="1:7">
      <c r="A31" s="152"/>
      <c r="E31" s="115"/>
    </row>
    <row r="32" spans="1:7" hidden="1">
      <c r="A32" s="152"/>
      <c r="E32" s="115"/>
    </row>
    <row r="33" spans="1:7" hidden="1"/>
    <row r="34" spans="1:7" ht="10.9" hidden="1" customHeight="1">
      <c r="A34" s="153"/>
      <c r="B34" s="154"/>
      <c r="C34" s="217"/>
      <c r="D34" s="217"/>
      <c r="E34" s="217"/>
      <c r="F34" s="217"/>
      <c r="G34" s="217"/>
    </row>
    <row r="35" spans="1:7" hidden="1">
      <c r="A35" s="12"/>
    </row>
    <row r="36" spans="1:7" hidden="1">
      <c r="A36" s="151" t="s">
        <v>857</v>
      </c>
      <c r="B36" s="155"/>
    </row>
    <row r="37" spans="1:7" hidden="1">
      <c r="A37" s="99"/>
      <c r="B37" s="138" t="s">
        <v>101</v>
      </c>
    </row>
    <row r="38" spans="1:7" hidden="1">
      <c r="A38" s="156">
        <f>'Tab 4 - LT Liabilities'!A67</f>
        <v>2025</v>
      </c>
      <c r="B38" s="19"/>
    </row>
    <row r="39" spans="1:7" hidden="1">
      <c r="A39" s="156">
        <f>'Tab 4 - LT Liabilities'!A68</f>
        <v>2026</v>
      </c>
      <c r="B39" s="19"/>
    </row>
    <row r="40" spans="1:7" hidden="1">
      <c r="A40" s="156">
        <f>'Tab 4 - LT Liabilities'!A69</f>
        <v>2027</v>
      </c>
      <c r="B40" s="19"/>
    </row>
    <row r="41" spans="1:7" hidden="1">
      <c r="A41" s="156">
        <f>'Tab 4 - LT Liabilities'!A70</f>
        <v>2028</v>
      </c>
      <c r="B41" s="19"/>
    </row>
    <row r="42" spans="1:7" hidden="1">
      <c r="A42" s="156">
        <f>'Tab 4 - LT Liabilities'!A71</f>
        <v>2029</v>
      </c>
      <c r="B42" s="19"/>
    </row>
    <row r="43" spans="1:7" hidden="1">
      <c r="A43" s="156" t="s">
        <v>858</v>
      </c>
      <c r="B43" s="390"/>
    </row>
    <row r="44" spans="1:7" hidden="1">
      <c r="A44" s="99" t="s">
        <v>815</v>
      </c>
      <c r="B44" s="19"/>
    </row>
    <row r="45" spans="1:7" hidden="1">
      <c r="A45" s="99" t="s">
        <v>816</v>
      </c>
      <c r="B45" s="19"/>
    </row>
    <row r="46" spans="1:7" hidden="1">
      <c r="A46" s="99" t="s">
        <v>817</v>
      </c>
      <c r="B46" s="19"/>
    </row>
    <row r="47" spans="1:7" hidden="1">
      <c r="A47" s="99" t="s">
        <v>818</v>
      </c>
      <c r="B47" s="19"/>
    </row>
    <row r="48" spans="1:7" hidden="1">
      <c r="A48" s="99" t="s">
        <v>819</v>
      </c>
      <c r="B48" s="19"/>
    </row>
    <row r="49" spans="1:7" hidden="1">
      <c r="A49" s="99" t="s">
        <v>820</v>
      </c>
      <c r="B49" s="19"/>
    </row>
    <row r="50" spans="1:7" hidden="1">
      <c r="A50" s="99" t="s">
        <v>821</v>
      </c>
      <c r="B50" s="19"/>
    </row>
    <row r="51" spans="1:7" hidden="1">
      <c r="A51" s="99" t="s">
        <v>822</v>
      </c>
      <c r="B51" s="19"/>
    </row>
    <row r="52" spans="1:7" hidden="1">
      <c r="A52" s="99" t="s">
        <v>823</v>
      </c>
      <c r="B52" s="19"/>
    </row>
    <row r="53" spans="1:7" hidden="1">
      <c r="A53" s="99" t="s">
        <v>824</v>
      </c>
      <c r="B53" s="19"/>
    </row>
    <row r="54" spans="1:7" hidden="1">
      <c r="A54" s="99" t="s">
        <v>825</v>
      </c>
      <c r="B54" s="19"/>
    </row>
    <row r="55" spans="1:7" ht="12" hidden="1" thickBot="1">
      <c r="A55" s="99" t="s">
        <v>431</v>
      </c>
      <c r="B55" s="157">
        <f>SUM(B38:B54)</f>
        <v>0</v>
      </c>
      <c r="D55" s="158"/>
    </row>
    <row r="56" spans="1:7" hidden="1">
      <c r="B56" s="159"/>
    </row>
    <row r="57" spans="1:7" hidden="1">
      <c r="A57" s="1" t="s">
        <v>843</v>
      </c>
      <c r="B57" s="159"/>
    </row>
    <row r="58" spans="1:7" hidden="1">
      <c r="B58" s="17"/>
    </row>
    <row r="59" spans="1:7" hidden="1">
      <c r="B59" s="249"/>
    </row>
    <row r="60" spans="1:7" ht="37.5" hidden="1" customHeight="1">
      <c r="A60" s="789" t="s">
        <v>583</v>
      </c>
      <c r="B60" s="789"/>
      <c r="C60" s="789"/>
      <c r="D60" s="789"/>
      <c r="E60" s="350" t="str">
        <f>IF(B55&lt;&gt;0,"Answer Required","N/A")</f>
        <v>N/A</v>
      </c>
    </row>
    <row r="61" spans="1:7">
      <c r="A61" s="139"/>
      <c r="B61" s="160"/>
      <c r="C61" s="139"/>
      <c r="D61" s="139"/>
      <c r="E61" s="139"/>
      <c r="F61" s="217"/>
      <c r="G61" s="217"/>
    </row>
    <row r="63" spans="1:7">
      <c r="A63" s="12" t="s">
        <v>878</v>
      </c>
    </row>
    <row r="64" spans="1:7" ht="63" customHeight="1">
      <c r="A64" s="790" t="s">
        <v>943</v>
      </c>
      <c r="B64" s="791"/>
      <c r="C64" s="791"/>
      <c r="D64" s="791"/>
      <c r="E64" s="792"/>
    </row>
    <row r="65" spans="1:5" ht="18.75" hidden="1" customHeight="1">
      <c r="A65" s="210"/>
      <c r="B65" s="359"/>
      <c r="C65" s="359"/>
      <c r="D65" s="359"/>
      <c r="E65" s="360"/>
    </row>
    <row r="66" spans="1:5" ht="15.75" customHeight="1">
      <c r="A66" s="793" t="s">
        <v>640</v>
      </c>
      <c r="B66" s="794"/>
      <c r="C66" s="794"/>
      <c r="D66" s="794"/>
      <c r="E66" s="795"/>
    </row>
    <row r="67" spans="1:5" ht="64.5" customHeight="1">
      <c r="A67" s="782"/>
      <c r="B67" s="783"/>
      <c r="C67" s="783"/>
      <c r="D67" s="783"/>
      <c r="E67" s="784"/>
    </row>
    <row r="68" spans="1:5" ht="47.45" customHeight="1"/>
    <row r="72" spans="1:5" hidden="1">
      <c r="A72" s="1" t="s">
        <v>403</v>
      </c>
    </row>
    <row r="73" spans="1:5" hidden="1">
      <c r="A73" s="1" t="s">
        <v>492</v>
      </c>
    </row>
    <row r="74" spans="1:5" hidden="1">
      <c r="A74" s="1" t="s">
        <v>187</v>
      </c>
    </row>
  </sheetData>
  <sheetProtection algorithmName="SHA-512" hashValue="a0XlQxZxZiR6I7d+mF3gsw75SAssgjs2/YtsBzU3Kn9TEjZm73xyGgLBUsrkzoRPW3Tc188tePWbJovVcdXr1w==" saltValue="6ghpBYLpGHGzvoDAFB35MA==" spinCount="100000" sheet="1" objects="1" scenarios="1"/>
  <customSheetViews>
    <customSheetView guid="{21549FED-0843-409C-B56D-2EB16B98EF5E}" showGridLines="0" fitToPage="1" hiddenRows="1">
      <selection activeCell="B3" sqref="B3:E3"/>
      <pageMargins left="0.5" right="0.5" top="1.18" bottom="0.83" header="0.5" footer="0.5"/>
      <pageSetup scale="83" orientation="portrait" cellComments="asDisplayed" r:id="rId1"/>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83B11BDE-9087-4120-8F71-87939A6C277C}" showPageBreaks="1" showGridLines="0" fitToPage="1" printArea="1" hiddenRows="1">
      <selection activeCell="E45" sqref="E45"/>
      <pageMargins left="0.5" right="0.5" top="1.18" bottom="0.83" header="0.5" footer="0.5"/>
      <pageSetup scale="83" orientation="portrait" cellComments="asDisplayed" r:id="rId2"/>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5A69DEB5-9E8B-40C6-849E-49B804F6ED86}" showGridLines="0" fitToPage="1" hiddenRows="1">
      <selection activeCell="E45" sqref="E45"/>
      <pageMargins left="0.5" right="0.5" top="1.18" bottom="0.83" header="0.5" footer="0.5"/>
      <pageSetup scale="83" orientation="portrait" cellComments="asDisplayed" r:id="rId3"/>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C3905544-E3E5-4318-8AA2-F7DE16A9B8E7}" showGridLines="0" fitToPage="1" hiddenRows="1">
      <selection activeCell="E45" sqref="E45"/>
      <pageMargins left="0.5" right="0.5" top="1.18" bottom="0.83" header="0.5" footer="0.5"/>
      <pageSetup scale="83" orientation="portrait" cellComments="asDisplayed" r:id="rId4"/>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s>
  <mergeCells count="14">
    <mergeCell ref="A67:E67"/>
    <mergeCell ref="B1:E1"/>
    <mergeCell ref="B2:E2"/>
    <mergeCell ref="A23:D23"/>
    <mergeCell ref="A25:D30"/>
    <mergeCell ref="B3:E3"/>
    <mergeCell ref="B4:E4"/>
    <mergeCell ref="B5:E5"/>
    <mergeCell ref="B6:E6"/>
    <mergeCell ref="A60:D60"/>
    <mergeCell ref="A64:E64"/>
    <mergeCell ref="A66:E66"/>
    <mergeCell ref="A10:G10"/>
    <mergeCell ref="E16:E17"/>
  </mergeCells>
  <phoneticPr fontId="26" type="noConversion"/>
  <conditionalFormatting sqref="A10:A11 L10:XFD11 L14:XFD14">
    <cfRule type="cellIs" dxfId="15" priority="3" operator="equal">
      <formula>"Answer Required"</formula>
    </cfRule>
  </conditionalFormatting>
  <conditionalFormatting sqref="E13">
    <cfRule type="cellIs" dxfId="14" priority="2" operator="equal">
      <formula>"Answer Required"</formula>
    </cfRule>
  </conditionalFormatting>
  <conditionalFormatting sqref="E16 E60">
    <cfRule type="cellIs" dxfId="13" priority="5" operator="equal">
      <formula>"Answer Required"</formula>
    </cfRule>
  </conditionalFormatting>
  <dataValidations count="4">
    <dataValidation type="list" allowBlank="1" showInputMessage="1" showErrorMessage="1" error="Use the drop-down list to enter Yes or No." sqref="E16 E13" xr:uid="{00000000-0002-0000-0900-000000000000}">
      <formula1>$A$72:$A$73</formula1>
    </dataValidation>
    <dataValidation type="whole" allowBlank="1" showInputMessage="1" showErrorMessage="1" error="Enter a whole number." sqref="B58:B59 B38:B42 B44:B54" xr:uid="{00000000-0002-0000-0900-000001000000}">
      <formula1>-9999999999999</formula1>
      <formula2>9999999999999</formula2>
    </dataValidation>
    <dataValidation type="list" allowBlank="1" showInputMessage="1" showErrorMessage="1" error="Please use the drop-down list to select Yes, No or N/A" sqref="E60" xr:uid="{00000000-0002-0000-0900-000002000000}">
      <formula1>$A$72:$A$74</formula1>
    </dataValidation>
    <dataValidation type="whole" allowBlank="1" showInputMessage="1" showErrorMessage="1" error="Enter a whole number" sqref="B43" xr:uid="{00000000-0002-0000-0900-000003000000}">
      <formula1>-9999999999999</formula1>
      <formula2>9999999999999</formula2>
    </dataValidation>
  </dataValidations>
  <pageMargins left="0.75" right="0.25" top="1.18" bottom="0.83" header="0.5" footer="0.5"/>
  <pageSetup scale="79" orientation="portrait" cellComments="asDisplayed" r:id="rId5"/>
  <headerFooter alignWithMargins="0">
    <oddHeader>&amp;C&amp;"Times New Roman,Bold"Attachment CU4 - FASB Foundations
Financial Statement Template (FST)
&amp;A</oddHeader>
    <oddFooter>&amp;L&amp;"Times New Roman,Regular"&amp;F \ &amp;A&amp;RPage &amp;P</odd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4"/>
  <sheetViews>
    <sheetView showGridLines="0" zoomScaleNormal="100" zoomScaleSheetLayoutView="100" workbookViewId="0">
      <selection activeCell="D3" sqref="D3:H3"/>
    </sheetView>
  </sheetViews>
  <sheetFormatPr defaultColWidth="8.85546875" defaultRowHeight="11.25"/>
  <cols>
    <col min="1" max="1" width="35.140625" style="1" customWidth="1"/>
    <col min="2" max="3" width="2.7109375" style="1" customWidth="1"/>
    <col min="4" max="4" width="17.28515625" style="1" customWidth="1"/>
    <col min="5" max="16384" width="8.85546875" style="1"/>
  </cols>
  <sheetData>
    <row r="1" spans="1:14">
      <c r="A1" s="12" t="s">
        <v>392</v>
      </c>
      <c r="B1" s="12"/>
      <c r="C1" s="12"/>
      <c r="D1" s="755" t="str">
        <f>'Component Unit Template'!G1</f>
        <v/>
      </c>
      <c r="E1" s="756"/>
      <c r="F1" s="756"/>
      <c r="G1" s="756"/>
      <c r="H1" s="757"/>
      <c r="I1" s="2"/>
      <c r="J1" s="2"/>
      <c r="K1" s="2"/>
      <c r="L1" s="2"/>
      <c r="M1" s="2"/>
      <c r="N1" s="2"/>
    </row>
    <row r="2" spans="1:14" ht="16.5" customHeight="1">
      <c r="A2" s="12" t="s">
        <v>404</v>
      </c>
      <c r="B2" s="12"/>
      <c r="C2" s="12"/>
      <c r="D2" s="758" t="str">
        <f>IF('Component Unit Template'!G2="","",'Component Unit Template'!G2)</f>
        <v/>
      </c>
      <c r="E2" s="759"/>
      <c r="F2" s="759"/>
      <c r="G2" s="759"/>
      <c r="H2" s="759"/>
      <c r="I2" s="2"/>
      <c r="J2" s="2"/>
      <c r="K2" s="2"/>
      <c r="L2" s="2"/>
      <c r="M2" s="2"/>
      <c r="N2" s="2"/>
    </row>
    <row r="3" spans="1:14">
      <c r="A3" s="12" t="s">
        <v>438</v>
      </c>
      <c r="B3" s="12"/>
      <c r="C3" s="12"/>
      <c r="D3" s="760" t="str">
        <f>IF('Component Unit Template'!G3="","",'Component Unit Template'!G3)</f>
        <v/>
      </c>
      <c r="E3" s="761"/>
      <c r="F3" s="761"/>
      <c r="G3" s="761"/>
      <c r="H3" s="761"/>
      <c r="I3" s="2"/>
      <c r="J3" s="2"/>
      <c r="K3" s="2"/>
      <c r="L3" s="2"/>
      <c r="M3" s="2"/>
      <c r="N3" s="2"/>
    </row>
    <row r="4" spans="1:14">
      <c r="A4" s="12" t="s">
        <v>255</v>
      </c>
      <c r="B4" s="12"/>
      <c r="C4" s="12"/>
      <c r="D4" s="762" t="str">
        <f>IF('Component Unit Template'!G4="","",'Component Unit Template'!G4)</f>
        <v/>
      </c>
      <c r="E4" s="763"/>
      <c r="F4" s="763"/>
      <c r="G4" s="763"/>
      <c r="H4" s="763"/>
      <c r="I4" s="2"/>
      <c r="J4" s="2"/>
      <c r="K4" s="2"/>
      <c r="L4" s="2"/>
      <c r="M4" s="2"/>
      <c r="N4" s="2"/>
    </row>
    <row r="5" spans="1:14">
      <c r="A5" s="12" t="s">
        <v>511</v>
      </c>
      <c r="B5" s="12"/>
      <c r="C5" s="12"/>
      <c r="D5" s="764" t="str">
        <f>IF('Component Unit Template'!G5="","",'Component Unit Template'!G5)</f>
        <v/>
      </c>
      <c r="E5" s="765"/>
      <c r="F5" s="765"/>
      <c r="G5" s="765"/>
      <c r="H5" s="765"/>
      <c r="I5" s="2"/>
      <c r="J5" s="2"/>
      <c r="K5" s="2"/>
      <c r="L5" s="2"/>
      <c r="M5" s="2"/>
      <c r="N5" s="2"/>
    </row>
    <row r="6" spans="1:14">
      <c r="A6" s="12" t="s">
        <v>35</v>
      </c>
      <c r="B6" s="12"/>
      <c r="C6" s="12"/>
      <c r="D6" s="766" t="str">
        <f>IF('Component Unit Template'!G6="","",'Component Unit Template'!G6)</f>
        <v/>
      </c>
      <c r="E6" s="788"/>
      <c r="F6" s="788"/>
      <c r="G6" s="788"/>
      <c r="H6" s="788"/>
      <c r="I6" s="2"/>
      <c r="J6" s="2"/>
      <c r="K6" s="2"/>
      <c r="L6" s="2"/>
      <c r="M6" s="2"/>
      <c r="N6" s="2"/>
    </row>
    <row r="7" spans="1:14">
      <c r="A7" s="150"/>
      <c r="B7" s="150"/>
      <c r="C7" s="150"/>
      <c r="D7" s="146"/>
      <c r="E7" s="145"/>
      <c r="F7" s="145"/>
      <c r="G7" s="145"/>
      <c r="H7" s="145"/>
      <c r="I7" s="2"/>
      <c r="J7" s="2"/>
      <c r="K7" s="2"/>
      <c r="L7" s="2"/>
      <c r="M7" s="2"/>
      <c r="N7" s="2"/>
    </row>
    <row r="8" spans="1:14" hidden="1">
      <c r="D8" s="146"/>
      <c r="E8" s="145"/>
      <c r="F8" s="145"/>
      <c r="G8" s="145"/>
      <c r="H8" s="145"/>
      <c r="I8" s="2"/>
      <c r="J8" s="2"/>
      <c r="K8" s="2"/>
      <c r="L8" s="2"/>
      <c r="M8" s="2"/>
      <c r="N8" s="2"/>
    </row>
    <row r="9" spans="1:14">
      <c r="D9" s="146"/>
      <c r="E9" s="145"/>
      <c r="F9" s="145"/>
      <c r="G9" s="145"/>
      <c r="H9" s="145"/>
      <c r="I9" s="2"/>
      <c r="J9" s="2"/>
      <c r="K9" s="2"/>
      <c r="L9" s="2"/>
      <c r="M9" s="2"/>
      <c r="N9" s="2"/>
    </row>
    <row r="10" spans="1:14">
      <c r="A10" s="153"/>
      <c r="B10" s="153"/>
      <c r="C10" s="153"/>
      <c r="D10" s="154"/>
      <c r="E10" s="217"/>
      <c r="F10" s="217"/>
      <c r="G10" s="217"/>
      <c r="H10" s="217"/>
      <c r="I10" s="2"/>
      <c r="J10" s="2"/>
      <c r="K10" s="2"/>
      <c r="L10" s="2"/>
      <c r="M10" s="2"/>
      <c r="N10" s="2"/>
    </row>
    <row r="11" spans="1:14">
      <c r="A11" s="150"/>
      <c r="B11" s="150"/>
      <c r="C11" s="150"/>
      <c r="D11" s="146"/>
      <c r="E11" s="145"/>
      <c r="F11" s="145"/>
      <c r="G11" s="145"/>
      <c r="H11" s="145"/>
      <c r="I11" s="2"/>
      <c r="J11" s="2"/>
      <c r="K11" s="2"/>
      <c r="L11" s="2"/>
      <c r="M11" s="2"/>
      <c r="N11" s="2"/>
    </row>
    <row r="12" spans="1:14">
      <c r="A12" s="151" t="s">
        <v>362</v>
      </c>
      <c r="B12" s="151"/>
      <c r="C12" s="151"/>
      <c r="G12" s="2"/>
      <c r="H12" s="2"/>
      <c r="I12" s="2"/>
      <c r="J12" s="2"/>
      <c r="K12" s="2"/>
      <c r="L12" s="2"/>
      <c r="M12" s="2"/>
      <c r="N12" s="2"/>
    </row>
    <row r="13" spans="1:14">
      <c r="A13" s="147" t="str">
        <f>'Component Unit Template'!A35</f>
        <v>For the Year Ended June 30, 2024</v>
      </c>
      <c r="B13" s="147"/>
      <c r="C13" s="147"/>
      <c r="G13" s="115"/>
      <c r="H13" s="114"/>
      <c r="I13" s="115"/>
      <c r="J13" s="115"/>
      <c r="K13" s="115"/>
      <c r="L13" s="115"/>
      <c r="M13" s="115"/>
      <c r="N13" s="115"/>
    </row>
    <row r="14" spans="1:14">
      <c r="A14" s="152"/>
      <c r="B14" s="152"/>
      <c r="C14" s="152"/>
      <c r="G14" s="115"/>
      <c r="H14" s="114"/>
      <c r="I14" s="115"/>
      <c r="J14" s="115"/>
      <c r="K14" s="115"/>
      <c r="L14" s="115"/>
      <c r="M14" s="115"/>
      <c r="N14" s="115"/>
    </row>
    <row r="15" spans="1:14">
      <c r="A15" s="170" t="s">
        <v>532</v>
      </c>
      <c r="B15" s="170"/>
      <c r="C15" s="170"/>
      <c r="G15" s="115"/>
      <c r="H15" s="114"/>
      <c r="I15" s="115"/>
      <c r="J15" s="115"/>
      <c r="K15" s="115"/>
      <c r="L15" s="115"/>
      <c r="M15" s="115"/>
      <c r="N15" s="115"/>
    </row>
    <row r="16" spans="1:14">
      <c r="A16" s="152"/>
      <c r="B16" s="152"/>
      <c r="C16" s="152"/>
      <c r="G16" s="115"/>
      <c r="H16" s="114"/>
      <c r="I16" s="115"/>
      <c r="J16" s="115"/>
      <c r="K16" s="115"/>
      <c r="L16" s="115"/>
      <c r="M16" s="115"/>
      <c r="N16" s="115"/>
    </row>
    <row r="17" spans="1:14">
      <c r="A17" s="171"/>
      <c r="B17" s="171"/>
      <c r="C17" s="171"/>
      <c r="D17" s="139"/>
      <c r="E17" s="139"/>
      <c r="F17" s="139"/>
      <c r="G17" s="118"/>
      <c r="H17" s="119"/>
      <c r="I17" s="115"/>
      <c r="J17" s="115"/>
      <c r="K17" s="115"/>
      <c r="L17" s="115"/>
      <c r="M17" s="115"/>
      <c r="N17" s="115"/>
    </row>
    <row r="18" spans="1:14">
      <c r="A18" s="12"/>
      <c r="B18" s="12"/>
      <c r="C18" s="12"/>
    </row>
    <row r="19" spans="1:14">
      <c r="D19" s="138" t="s">
        <v>101</v>
      </c>
    </row>
    <row r="20" spans="1:14" ht="22.5">
      <c r="A20" s="173" t="s">
        <v>533</v>
      </c>
      <c r="B20" s="173"/>
      <c r="C20" s="173" t="s">
        <v>500</v>
      </c>
      <c r="D20" s="221" t="str">
        <f>IF(ISNA(VLOOKUP($D$2,'Prior Year Amounts'!E316:I319,5,FALSE)),"",(VLOOKUP($D$2,'Prior Year Amounts'!E316:I319,5,FALSE)))</f>
        <v/>
      </c>
    </row>
    <row r="21" spans="1:14">
      <c r="A21" s="173"/>
      <c r="B21" s="173"/>
      <c r="C21" s="173"/>
      <c r="D21" s="90"/>
    </row>
    <row r="22" spans="1:14">
      <c r="A22" s="1" t="s">
        <v>477</v>
      </c>
      <c r="D22" s="90"/>
    </row>
    <row r="23" spans="1:14">
      <c r="A23" s="485"/>
      <c r="B23" s="173"/>
      <c r="C23" s="173"/>
      <c r="D23" s="17"/>
    </row>
    <row r="24" spans="1:14">
      <c r="A24" s="235"/>
      <c r="B24" s="173"/>
      <c r="C24" s="173"/>
      <c r="D24" s="17"/>
    </row>
    <row r="25" spans="1:14">
      <c r="A25" s="235"/>
      <c r="B25" s="173"/>
      <c r="C25" s="173"/>
      <c r="D25" s="17"/>
    </row>
    <row r="26" spans="1:14">
      <c r="A26" s="235"/>
      <c r="B26" s="173"/>
      <c r="C26" s="173"/>
      <c r="D26" s="17"/>
    </row>
    <row r="27" spans="1:14">
      <c r="A27" s="235"/>
      <c r="B27" s="173"/>
      <c r="C27" s="173"/>
      <c r="D27" s="17"/>
    </row>
    <row r="28" spans="1:14">
      <c r="A28" s="245"/>
      <c r="B28" s="243"/>
      <c r="C28" s="243"/>
      <c r="D28" s="17"/>
    </row>
    <row r="29" spans="1:14">
      <c r="A29" s="245"/>
      <c r="B29" s="243"/>
      <c r="C29" s="243"/>
      <c r="D29" s="17"/>
    </row>
    <row r="30" spans="1:14">
      <c r="A30" s="245"/>
      <c r="B30" s="243"/>
      <c r="C30" s="243"/>
      <c r="D30" s="17"/>
    </row>
    <row r="31" spans="1:14" ht="28.15" customHeight="1" thickBot="1">
      <c r="A31" s="173" t="s">
        <v>534</v>
      </c>
      <c r="B31" s="173"/>
      <c r="C31" s="173" t="s">
        <v>500</v>
      </c>
      <c r="D31" s="134">
        <f>SUM(D20,D23:D30)</f>
        <v>0</v>
      </c>
      <c r="E31" s="172"/>
    </row>
    <row r="32" spans="1:14" ht="12" thickTop="1"/>
    <row r="33" spans="1:5">
      <c r="D33" s="138"/>
    </row>
    <row r="34" spans="1:5">
      <c r="A34" s="173"/>
      <c r="B34" s="173"/>
      <c r="C34" s="173"/>
      <c r="D34" s="90"/>
    </row>
    <row r="35" spans="1:5">
      <c r="A35" s="173"/>
      <c r="B35" s="173"/>
      <c r="C35" s="173"/>
      <c r="D35" s="90"/>
    </row>
    <row r="36" spans="1:5">
      <c r="D36" s="90"/>
    </row>
    <row r="37" spans="1:5">
      <c r="D37" s="90"/>
    </row>
    <row r="38" spans="1:5">
      <c r="D38" s="90"/>
    </row>
    <row r="39" spans="1:5">
      <c r="D39" s="90"/>
    </row>
    <row r="40" spans="1:5">
      <c r="D40" s="90"/>
    </row>
    <row r="41" spans="1:5">
      <c r="A41" s="173"/>
      <c r="B41" s="173"/>
      <c r="C41" s="173"/>
      <c r="D41" s="90"/>
    </row>
    <row r="42" spans="1:5">
      <c r="A42" s="173"/>
      <c r="B42" s="173"/>
      <c r="C42" s="173"/>
      <c r="D42" s="90"/>
    </row>
    <row r="43" spans="1:5">
      <c r="A43" s="173"/>
      <c r="B43" s="173"/>
      <c r="C43" s="173"/>
      <c r="D43" s="90"/>
    </row>
    <row r="44" spans="1:5">
      <c r="A44" s="173"/>
      <c r="B44" s="173"/>
      <c r="C44" s="173"/>
      <c r="D44" s="90"/>
      <c r="E44" s="172"/>
    </row>
  </sheetData>
  <sheetProtection algorithmName="SHA-512" hashValue="pQLWbhgiv6rPEDulzN3XxsYzUYJ63QJqGkac/JqWl3bJcjW1EThAKuDcCpkIlpsV2qGhpCWWDPAG8AOorhLt5g==" saltValue="7rZsfiQ9HmDgPlBK7QNFhg==" spinCount="100000" sheet="1" objects="1" scenarios="1"/>
  <customSheetViews>
    <customSheetView guid="{21549FED-0843-409C-B56D-2EB16B98EF5E}" showGridLines="0" hiddenRows="1">
      <selection activeCell="D3" sqref="D3:H3"/>
      <pageMargins left="0.75" right="0.36" top="1.25" bottom="1" header="0.5" footer="0.5"/>
      <pageSetup scale="88" orientation="portrait" cellComments="asDisplayed" r:id="rId1"/>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83B11BDE-9087-4120-8F71-87939A6C277C}" showPageBreaks="1" showGridLines="0" printArea="1" hiddenRows="1" topLeftCell="A13">
      <selection activeCell="A23" sqref="A23"/>
      <pageMargins left="0.75" right="0.36" top="1.25" bottom="1" header="0.5" footer="0.5"/>
      <pageSetup scale="88" orientation="portrait" cellComments="asDisplayed" r:id="rId2"/>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5A69DEB5-9E8B-40C6-849E-49B804F6ED86}" showGridLines="0" hiddenRows="1" topLeftCell="A13">
      <selection activeCell="A23" sqref="A23"/>
      <pageMargins left="0.75" right="0.36" top="1.25" bottom="1" header="0.5" footer="0.5"/>
      <pageSetup scale="88" orientation="portrait" cellComments="asDisplayed" r:id="rId3"/>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C3905544-E3E5-4318-8AA2-F7DE16A9B8E7}" showGridLines="0" hiddenRows="1" topLeftCell="A13">
      <selection activeCell="A23" sqref="A23"/>
      <pageMargins left="0.75" right="0.36" top="1.25" bottom="1" header="0.5" footer="0.5"/>
      <pageSetup scale="88" orientation="portrait" cellComments="asDisplayed" r:id="rId4"/>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s>
  <mergeCells count="6">
    <mergeCell ref="D1:H1"/>
    <mergeCell ref="D6:H6"/>
    <mergeCell ref="D2:H2"/>
    <mergeCell ref="D3:H3"/>
    <mergeCell ref="D4:H4"/>
    <mergeCell ref="D5:H5"/>
  </mergeCells>
  <phoneticPr fontId="26" type="noConversion"/>
  <dataValidations count="2">
    <dataValidation allowBlank="1" showInputMessage="1" showErrorMessage="1" errorTitle="Enter a Whole Number" error="Enter a Whole Number Only" sqref="D20" xr:uid="{00000000-0002-0000-0A00-000000000000}"/>
    <dataValidation type="whole" allowBlank="1" showInputMessage="1" showErrorMessage="1" errorTitle="Enter a Whole Number" error="Enter a whole number." sqref="D23:D30" xr:uid="{00000000-0002-0000-0A00-000001000000}">
      <formula1>-9999999999999</formula1>
      <formula2>9999999999999</formula2>
    </dataValidation>
  </dataValidations>
  <pageMargins left="0.75" right="0.36" top="1.25" bottom="1" header="0.5" footer="0.5"/>
  <pageSetup scale="88" orientation="portrait" cellComments="asDisplayed" r:id="rId5"/>
  <headerFooter alignWithMargins="0">
    <oddHeader>&amp;C&amp;"Times New Roman,Bold"Attachment CU4 - FASB Foundations
Financial Statement Template (FST)
&amp;A</oddHeader>
    <oddFooter>&amp;L&amp;"Times New Roman,Regular"&amp;F \ &amp;A&amp;RPage &amp;P</oddFooter>
  </headerFooter>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7"/>
  <sheetViews>
    <sheetView showGridLines="0" zoomScaleNormal="100" workbookViewId="0">
      <selection activeCell="B3" sqref="B3:D3"/>
    </sheetView>
  </sheetViews>
  <sheetFormatPr defaultColWidth="9.140625" defaultRowHeight="12.75"/>
  <cols>
    <col min="1" max="1" width="56.140625" customWidth="1"/>
    <col min="2" max="2" width="21" customWidth="1"/>
    <col min="3" max="4" width="15.7109375" customWidth="1"/>
    <col min="5" max="5" width="28.28515625" customWidth="1"/>
    <col min="7" max="7" width="9.140625" customWidth="1"/>
    <col min="8" max="8" width="9.140625" hidden="1" customWidth="1"/>
  </cols>
  <sheetData>
    <row r="1" spans="1:5">
      <c r="A1" s="174" t="s">
        <v>392</v>
      </c>
      <c r="B1" s="801" t="str">
        <f>'Component Unit Template'!G1</f>
        <v/>
      </c>
      <c r="C1" s="801"/>
      <c r="D1" s="801"/>
    </row>
    <row r="2" spans="1:5" ht="14.25" customHeight="1">
      <c r="A2" s="174" t="s">
        <v>404</v>
      </c>
      <c r="B2" s="801" t="str">
        <f>IF('Component Unit Template'!G2="","",'Component Unit Template'!G2)</f>
        <v/>
      </c>
      <c r="C2" s="801"/>
      <c r="D2" s="801"/>
    </row>
    <row r="3" spans="1:5">
      <c r="A3" s="174" t="s">
        <v>438</v>
      </c>
      <c r="B3" s="802" t="str">
        <f>IF('Component Unit Template'!G3="","",'Component Unit Template'!G3)</f>
        <v/>
      </c>
      <c r="C3" s="802"/>
      <c r="D3" s="802"/>
    </row>
    <row r="4" spans="1:5">
      <c r="A4" s="174" t="s">
        <v>255</v>
      </c>
      <c r="B4" s="803" t="str">
        <f>IF('Component Unit Template'!G4="","",'Component Unit Template'!G4)</f>
        <v/>
      </c>
      <c r="C4" s="803"/>
      <c r="D4" s="803"/>
    </row>
    <row r="5" spans="1:5">
      <c r="A5" s="174" t="s">
        <v>511</v>
      </c>
      <c r="B5" s="799" t="str">
        <f>IF('Component Unit Template'!G5="","",'Component Unit Template'!G5)</f>
        <v/>
      </c>
      <c r="C5" s="799"/>
      <c r="D5" s="799"/>
    </row>
    <row r="6" spans="1:5">
      <c r="A6" s="174" t="s">
        <v>35</v>
      </c>
      <c r="B6" s="800" t="str">
        <f>IF('Component Unit Template'!G6="","",'Component Unit Template'!G6)</f>
        <v/>
      </c>
      <c r="C6" s="800"/>
      <c r="D6" s="800"/>
    </row>
    <row r="8" spans="1:5" s="2" customFormat="1" ht="12.75" customHeight="1">
      <c r="A8" s="50"/>
      <c r="B8" s="110"/>
      <c r="C8" s="110"/>
      <c r="D8" s="110"/>
      <c r="E8" s="110"/>
    </row>
    <row r="9" spans="1:5" s="2" customFormat="1" ht="12.75" customHeight="1">
      <c r="A9" s="109" t="s">
        <v>960</v>
      </c>
      <c r="B9" s="798"/>
      <c r="C9" s="798"/>
      <c r="D9" s="798"/>
      <c r="E9" s="110"/>
    </row>
    <row r="10" spans="1:5" s="2" customFormat="1" ht="12.6" customHeight="1">
      <c r="A10" s="111" t="str">
        <f>'Tab 2 - Receivables'!A11</f>
        <v>For the Year Ended June 30, 2024</v>
      </c>
      <c r="B10" s="798"/>
      <c r="C10" s="798"/>
      <c r="D10" s="798"/>
      <c r="E10" s="87"/>
    </row>
    <row r="11" spans="1:5" s="115" customFormat="1" ht="12.6" customHeight="1">
      <c r="A11" s="112"/>
      <c r="B11" s="798"/>
      <c r="C11" s="798"/>
      <c r="D11" s="798"/>
      <c r="E11" s="114"/>
    </row>
    <row r="12" spans="1:5" s="115" customFormat="1" ht="12.6" customHeight="1">
      <c r="A12" s="116"/>
      <c r="B12" s="117"/>
      <c r="C12" s="117"/>
      <c r="D12" s="118"/>
      <c r="E12" s="119"/>
    </row>
    <row r="13" spans="1:5" s="115" customFormat="1" ht="12.6" customHeight="1">
      <c r="A13" s="177"/>
      <c r="B13" s="50"/>
      <c r="C13" s="50"/>
      <c r="E13" s="114"/>
    </row>
    <row r="14" spans="1:5" s="27" customFormat="1">
      <c r="A14" s="26"/>
      <c r="B14" s="31" t="s">
        <v>101</v>
      </c>
    </row>
    <row r="15" spans="1:5" s="27" customFormat="1" ht="19.5" customHeight="1">
      <c r="A15" s="27" t="s">
        <v>42</v>
      </c>
      <c r="B15" s="176">
        <f>'Component Unit Template'!K113+'Component Unit Template'!K115</f>
        <v>0</v>
      </c>
    </row>
    <row r="16" spans="1:5" s="27" customFormat="1" ht="19.5" customHeight="1">
      <c r="A16" s="120"/>
      <c r="B16" s="175"/>
    </row>
    <row r="17" spans="1:8" s="27" customFormat="1">
      <c r="A17" s="120" t="s">
        <v>43</v>
      </c>
      <c r="B17" s="252"/>
    </row>
    <row r="18" spans="1:8" s="27" customFormat="1">
      <c r="A18" s="27" t="s">
        <v>46</v>
      </c>
      <c r="B18" s="106"/>
    </row>
    <row r="19" spans="1:8" s="27" customFormat="1">
      <c r="A19" s="27" t="s">
        <v>45</v>
      </c>
      <c r="B19" s="106"/>
    </row>
    <row r="20" spans="1:8" s="27" customFormat="1" hidden="1">
      <c r="A20" s="27" t="s">
        <v>44</v>
      </c>
      <c r="B20" s="106"/>
    </row>
    <row r="21" spans="1:8" s="27" customFormat="1">
      <c r="A21" s="27" t="s">
        <v>86</v>
      </c>
      <c r="B21" s="106"/>
    </row>
    <row r="22" spans="1:8" s="27" customFormat="1">
      <c r="A22" s="27" t="s">
        <v>87</v>
      </c>
      <c r="B22" s="106"/>
    </row>
    <row r="23" spans="1:8" s="27" customFormat="1">
      <c r="A23" s="27" t="s">
        <v>47</v>
      </c>
    </row>
    <row r="24" spans="1:8" s="27" customFormat="1">
      <c r="A24" s="43"/>
      <c r="B24" s="106"/>
    </row>
    <row r="25" spans="1:8" s="27" customFormat="1">
      <c r="A25" s="43"/>
      <c r="B25" s="106"/>
    </row>
    <row r="26" spans="1:8" s="27" customFormat="1">
      <c r="A26" s="43"/>
      <c r="B26" s="106"/>
    </row>
    <row r="27" spans="1:8" s="27" customFormat="1">
      <c r="A27" s="301"/>
      <c r="B27" s="106"/>
    </row>
    <row r="28" spans="1:8" s="27" customFormat="1">
      <c r="A28" s="319"/>
      <c r="B28" s="320"/>
      <c r="D28" s="138" t="s">
        <v>913</v>
      </c>
    </row>
    <row r="29" spans="1:8" s="27" customFormat="1" ht="40.5" customHeight="1">
      <c r="A29" s="302" t="s">
        <v>914</v>
      </c>
      <c r="B29" s="303"/>
      <c r="D29" s="331" t="str">
        <f>IF(B29="","N/A","Answer Required")</f>
        <v>N/A</v>
      </c>
    </row>
    <row r="30" spans="1:8" s="27" customFormat="1" ht="51.75" hidden="1" customHeight="1">
      <c r="A30" s="298" t="s">
        <v>627</v>
      </c>
      <c r="B30" s="124"/>
      <c r="H30" s="27" t="s">
        <v>403</v>
      </c>
    </row>
    <row r="31" spans="1:8" s="27" customFormat="1" hidden="1">
      <c r="A31" s="299"/>
      <c r="B31" s="106"/>
      <c r="H31" s="27" t="s">
        <v>492</v>
      </c>
    </row>
    <row r="32" spans="1:8" s="27" customFormat="1">
      <c r="B32" s="175"/>
      <c r="H32" s="27" t="s">
        <v>187</v>
      </c>
    </row>
    <row r="33" spans="1:5" s="27" customFormat="1" ht="27.75" customHeight="1">
      <c r="A33" s="298" t="s">
        <v>708</v>
      </c>
      <c r="B33" s="106"/>
    </row>
    <row r="34" spans="1:5" s="27" customFormat="1" ht="39.75" customHeight="1">
      <c r="A34" s="297" t="s">
        <v>557</v>
      </c>
      <c r="B34" s="106"/>
    </row>
    <row r="35" spans="1:5" s="27" customFormat="1" ht="52.5" hidden="1" customHeight="1">
      <c r="A35" s="297" t="s">
        <v>558</v>
      </c>
      <c r="B35" s="124"/>
    </row>
    <row r="36" spans="1:5" s="27" customFormat="1" ht="36" customHeight="1">
      <c r="A36" s="299"/>
      <c r="B36" s="106"/>
    </row>
    <row r="37" spans="1:5" s="27" customFormat="1">
      <c r="A37" s="300" t="s">
        <v>559</v>
      </c>
      <c r="B37" s="175"/>
    </row>
    <row r="38" spans="1:5" s="27" customFormat="1">
      <c r="A38" s="299"/>
      <c r="B38" s="106"/>
    </row>
    <row r="39" spans="1:5" s="27" customFormat="1">
      <c r="A39" s="299"/>
      <c r="B39" s="106"/>
    </row>
    <row r="40" spans="1:5" s="27" customFormat="1">
      <c r="A40" s="299"/>
      <c r="B40" s="106"/>
    </row>
    <row r="41" spans="1:5" s="27" customFormat="1">
      <c r="A41" s="43"/>
      <c r="B41" s="106"/>
    </row>
    <row r="42" spans="1:5" s="27" customFormat="1">
      <c r="A42" s="43"/>
      <c r="B42" s="106"/>
    </row>
    <row r="43" spans="1:5" s="27" customFormat="1" ht="13.5" thickBot="1">
      <c r="A43" s="27" t="s">
        <v>531</v>
      </c>
      <c r="B43" s="251">
        <f>IF(SUM(B15,B18:B22,B24:B30,B33:B42)='Component Unit Template'!K193,SUM(B15,B18:B22,B24:B30,B33:B42),"ERROR")</f>
        <v>0</v>
      </c>
    </row>
    <row r="44" spans="1:5" s="27" customFormat="1" ht="13.5" thickTop="1">
      <c r="A44" s="178" t="s">
        <v>48</v>
      </c>
      <c r="B44" s="179">
        <f>(SUM(B15,B18:B22,B24:B30,B33:B42))-'Component Unit Template'!K193</f>
        <v>0</v>
      </c>
      <c r="C44" s="121"/>
    </row>
    <row r="45" spans="1:5" s="27" customFormat="1">
      <c r="A45" s="122"/>
      <c r="B45" s="123"/>
    </row>
    <row r="46" spans="1:5" s="27" customFormat="1"/>
    <row r="47" spans="1:5" s="27" customFormat="1" ht="25.5">
      <c r="A47" s="124" t="s">
        <v>49</v>
      </c>
      <c r="B47" s="125" t="s">
        <v>555</v>
      </c>
      <c r="C47" s="125" t="s">
        <v>50</v>
      </c>
      <c r="D47" s="181" t="s">
        <v>51</v>
      </c>
      <c r="E47" s="181" t="s">
        <v>60</v>
      </c>
    </row>
    <row r="48" spans="1:5" s="27" customFormat="1">
      <c r="A48" s="124" t="s">
        <v>46</v>
      </c>
      <c r="B48" s="180">
        <f>'Component Unit Template'!K156+'Component Unit Template'!K175</f>
        <v>0</v>
      </c>
      <c r="C48" s="180">
        <f>B18</f>
        <v>0</v>
      </c>
      <c r="D48" s="161">
        <f t="shared" ref="D48:D53" si="0">SUM(B48:C48)</f>
        <v>0</v>
      </c>
      <c r="E48" s="487" t="str">
        <f>IF(D48=0,"N/A","Answer Required")</f>
        <v>N/A</v>
      </c>
    </row>
    <row r="49" spans="1:5" s="27" customFormat="1">
      <c r="A49" s="124" t="s">
        <v>45</v>
      </c>
      <c r="B49" s="180">
        <f>'Component Unit Template'!K157+'Component Unit Template'!K176</f>
        <v>0</v>
      </c>
      <c r="C49" s="180">
        <f>B19</f>
        <v>0</v>
      </c>
      <c r="D49" s="161">
        <f t="shared" si="0"/>
        <v>0</v>
      </c>
      <c r="E49" s="487" t="str">
        <f>IF(D49=0,"N/A","Answer Required")</f>
        <v>N/A</v>
      </c>
    </row>
    <row r="50" spans="1:5" s="27" customFormat="1" hidden="1">
      <c r="A50" s="124" t="s">
        <v>44</v>
      </c>
      <c r="B50" s="38"/>
      <c r="C50" s="176"/>
      <c r="D50" s="161"/>
      <c r="E50" s="263"/>
    </row>
    <row r="51" spans="1:5" s="27" customFormat="1">
      <c r="A51" s="124" t="s">
        <v>86</v>
      </c>
      <c r="B51" s="38">
        <f>'Component Unit Template'!K159+'Component Unit Template'!K178</f>
        <v>0</v>
      </c>
      <c r="C51" s="176">
        <f>B21</f>
        <v>0</v>
      </c>
      <c r="D51" s="161">
        <f t="shared" si="0"/>
        <v>0</v>
      </c>
      <c r="E51" s="487" t="str">
        <f>IF(D51=0,"N/A","Answer Required")</f>
        <v>N/A</v>
      </c>
    </row>
    <row r="52" spans="1:5" s="27" customFormat="1">
      <c r="A52" s="124" t="s">
        <v>87</v>
      </c>
      <c r="B52" s="38">
        <f>'Component Unit Template'!K161+'Component Unit Template'!K181</f>
        <v>0</v>
      </c>
      <c r="C52" s="176">
        <f>B22</f>
        <v>0</v>
      </c>
      <c r="D52" s="161">
        <f t="shared" si="0"/>
        <v>0</v>
      </c>
      <c r="E52" s="487" t="str">
        <f>IF(D52=0,"N/A","Answer Required")</f>
        <v>N/A</v>
      </c>
    </row>
    <row r="53" spans="1:5" s="27" customFormat="1">
      <c r="A53" s="124" t="s">
        <v>494</v>
      </c>
      <c r="B53" s="38">
        <f>'Component Unit Template'!K165+'Component Unit Template'!K183</f>
        <v>0</v>
      </c>
      <c r="C53" s="176">
        <f>SUM(B24:B27)</f>
        <v>0</v>
      </c>
      <c r="D53" s="161">
        <f t="shared" si="0"/>
        <v>0</v>
      </c>
      <c r="E53" s="487" t="str">
        <f>IF(D53=0,"N/A","Answer Required")</f>
        <v>N/A</v>
      </c>
    </row>
    <row r="54" spans="1:5" s="27" customFormat="1"/>
    <row r="55" spans="1:5">
      <c r="A55" s="27"/>
    </row>
    <row r="59" spans="1:5">
      <c r="A59" s="3"/>
    </row>
    <row r="60" spans="1:5">
      <c r="A60" s="4"/>
    </row>
    <row r="61" spans="1:5">
      <c r="A61" s="4"/>
    </row>
    <row r="62" spans="1:5">
      <c r="A62" s="3"/>
    </row>
    <row r="63" spans="1:5">
      <c r="A63" s="3"/>
    </row>
    <row r="64" spans="1:5">
      <c r="A64" s="3"/>
    </row>
    <row r="65" spans="1:1">
      <c r="A65" s="3"/>
    </row>
    <row r="66" spans="1:1">
      <c r="A66" s="3"/>
    </row>
    <row r="67" spans="1:1">
      <c r="A67" s="1"/>
    </row>
  </sheetData>
  <sheetProtection algorithmName="SHA-512" hashValue="XNMsO4Io5mDQraZygAtZx7n4osq18UNSm0RxZlu0K/JIjItL8cxV1R/cEGVZlgtkDnjldS5lqKbEu/jSuTUuqw==" saltValue="/gBCEh3+zle3xDhoi3jwFg==" spinCount="100000" sheet="1" objects="1" scenarios="1"/>
  <customSheetViews>
    <customSheetView guid="{21549FED-0843-409C-B56D-2EB16B98EF5E}" showGridLines="0" hiddenRows="1" hiddenColumns="1">
      <selection activeCell="B3" sqref="B3:D3"/>
      <pageMargins left="0.75" right="0.38" top="0.74" bottom="0.65" header="0.35" footer="0.33"/>
      <pageSetup scale="70" orientation="portrait" cellComments="asDisplayed" r:id="rId1"/>
      <headerFooter alignWithMargins="0">
        <oddHeader>&amp;C&amp;"Times New Roman,Bold"Attachment CU4 - FASB Foundations
Financial Statement Template (FST)
&amp;A</oddHeader>
        <oddFooter>&amp;L&amp;"Times New Roman,Regular"&amp;F \ &amp;A&amp;R&amp;"Times New Roman,Regular"Page &amp;P</oddFooter>
      </headerFooter>
    </customSheetView>
    <customSheetView guid="{83B11BDE-9087-4120-8F71-87939A6C277C}" showGridLines="0" hiddenColumns="1" topLeftCell="A34">
      <selection activeCell="I30" sqref="I30"/>
      <pageMargins left="0.75" right="0.38" top="0.74" bottom="0.65" header="0.35" footer="0.33"/>
      <pageSetup scale="73" orientation="portrait" cellComments="asDisplayed" r:id="rId2"/>
      <headerFooter alignWithMargins="0">
        <oddHeader>&amp;C&amp;"Times New Roman,Bold"Attachment CU4 - FASB Foundations
Financial Statement Template (FST)
&amp;A</oddHeader>
        <oddFooter>&amp;L&amp;"Times New Roman,Regular"&amp;F \ &amp;A&amp;R&amp;"Times New Roman,Regular"Page &amp;P</oddFooter>
      </headerFooter>
    </customSheetView>
    <customSheetView guid="{5A69DEB5-9E8B-40C6-849E-49B804F6ED86}" showGridLines="0" hiddenColumns="1" topLeftCell="A34">
      <selection activeCell="I30" sqref="I30"/>
      <pageMargins left="0.75" right="0.38" top="0.74" bottom="0.65" header="0.35" footer="0.33"/>
      <pageSetup scale="73" orientation="portrait" cellComments="asDisplayed" r:id="rId3"/>
      <headerFooter alignWithMargins="0">
        <oddHeader>&amp;C&amp;"Times New Roman,Bold"Attachment CU4 - FASB Foundations
Financial Statement Template (FST)
&amp;A</oddHeader>
        <oddFooter>&amp;L&amp;"Times New Roman,Regular"&amp;F \ &amp;A&amp;R&amp;"Times New Roman,Regular"Page &amp;P</oddFooter>
      </headerFooter>
    </customSheetView>
    <customSheetView guid="{C3905544-E3E5-4318-8AA2-F7DE16A9B8E7}" showGridLines="0" hiddenColumns="1" topLeftCell="A34">
      <selection activeCell="I30" sqref="I30"/>
      <pageMargins left="0.75" right="0.38" top="0.74" bottom="0.65" header="0.35" footer="0.33"/>
      <pageSetup scale="73" orientation="portrait" cellComments="asDisplayed" r:id="rId4"/>
      <headerFooter alignWithMargins="0">
        <oddHeader>&amp;C&amp;"Times New Roman,Bold"Attachment CU4 - FASB Foundations
Financial Statement Template (FST)
&amp;A</oddHeader>
        <oddFooter>&amp;L&amp;"Times New Roman,Regular"&amp;F \ &amp;A&amp;R&amp;"Times New Roman,Regular"Page &amp;P</oddFooter>
      </headerFooter>
    </customSheetView>
  </customSheetViews>
  <mergeCells count="7">
    <mergeCell ref="B9:D11"/>
    <mergeCell ref="B5:D5"/>
    <mergeCell ref="B6:D6"/>
    <mergeCell ref="B1:D1"/>
    <mergeCell ref="B2:D2"/>
    <mergeCell ref="B3:D3"/>
    <mergeCell ref="B4:D4"/>
  </mergeCells>
  <phoneticPr fontId="26" type="noConversion"/>
  <conditionalFormatting sqref="D29">
    <cfRule type="cellIs" dxfId="12" priority="6" operator="equal">
      <formula>"Answer Required"</formula>
    </cfRule>
  </conditionalFormatting>
  <conditionalFormatting sqref="E48:E49">
    <cfRule type="cellIs" dxfId="11" priority="4" operator="equal">
      <formula>"Answer Required"</formula>
    </cfRule>
  </conditionalFormatting>
  <conditionalFormatting sqref="E51:E53">
    <cfRule type="cellIs" dxfId="10" priority="1" operator="equal">
      <formula>"Answer Required"</formula>
    </cfRule>
  </conditionalFormatting>
  <dataValidations count="10">
    <dataValidation type="whole" allowBlank="1" showErrorMessage="1" sqref="B49:C53 B43:B44" xr:uid="{00000000-0002-0000-0B00-000000000000}">
      <formula1>-9999999999999</formula1>
      <formula2>9999999999999</formula2>
    </dataValidation>
    <dataValidation type="whole" allowBlank="1" showErrorMessage="1" error="Amount must be rounded to the nearest dollar." sqref="B16:B17" xr:uid="{00000000-0002-0000-0B00-000001000000}">
      <formula1>0</formula1>
      <formula2>9.99999999999999E+25</formula2>
    </dataValidation>
    <dataValidation allowBlank="1" showErrorMessage="1" sqref="B15" xr:uid="{00000000-0002-0000-0B00-000002000000}"/>
    <dataValidation type="whole" allowBlank="1" showInputMessage="1" showErrorMessage="1" error="Enter a whole number." sqref="B42 B28" xr:uid="{00000000-0002-0000-0B00-000003000000}">
      <formula1>-9999999999999</formula1>
      <formula2>9999999999999</formula2>
    </dataValidation>
    <dataValidation type="whole" allowBlank="1" showErrorMessage="1" error="Please enter a whole number." sqref="B32 B37" xr:uid="{00000000-0002-0000-0B00-000004000000}">
      <formula1>-999999999999999000000</formula1>
      <formula2>99999999999999900000</formula2>
    </dataValidation>
    <dataValidation type="list" allowBlank="1" showInputMessage="1" showErrorMessage="1" error="Use the drop-down list to select Yes, No, or N/A" sqref="D29" xr:uid="{00000000-0002-0000-0B00-000005000000}">
      <formula1>$H$30:$H$32</formula1>
    </dataValidation>
    <dataValidation type="whole" allowBlank="1" showErrorMessage="1" error="Please enter a positive whole number." sqref="B29 B31" xr:uid="{00000000-0002-0000-0B00-000006000000}">
      <formula1>0</formula1>
      <formula2>999999999999999000000</formula2>
    </dataValidation>
    <dataValidation type="whole" allowBlank="1" showErrorMessage="1" error="Please enter a whole number." sqref="B38:B41" xr:uid="{00000000-0002-0000-0B00-000007000000}">
      <formula1>-9999999999999</formula1>
      <formula2>9999999999999</formula2>
    </dataValidation>
    <dataValidation type="whole" allowBlank="1" showInputMessage="1" showErrorMessage="1" error="Enter a negative whole number." sqref="B18:B22 B24:B27" xr:uid="{00000000-0002-0000-0B00-000008000000}">
      <formula1>-9999999999999</formula1>
      <formula2>0</formula2>
    </dataValidation>
    <dataValidation type="whole" allowBlank="1" showErrorMessage="1" error="Please enter a negative whole number." sqref="B33:B36" xr:uid="{00000000-0002-0000-0B00-000009000000}">
      <formula1>-9999999999999</formula1>
      <formula2>0</formula2>
    </dataValidation>
  </dataValidations>
  <pageMargins left="0.75" right="0.38" top="0.74" bottom="0.65" header="0.35" footer="0.33"/>
  <pageSetup scale="70" orientation="portrait" cellComments="asDisplayed" r:id="rId5"/>
  <headerFooter alignWithMargins="0">
    <oddHeader>&amp;C&amp;"Times New Roman,Bold"Attachment CU4 - FASB Foundations
Financial Statement Template (FST)
&amp;A</oddHeader>
    <oddFooter>&amp;L&amp;"Times New Roman,Regular"&amp;F \ &amp;A&amp;RPage &amp;P</oddFooter>
  </headerFooter>
  <legacyDrawing r:id="rId6"/>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55"/>
  <sheetViews>
    <sheetView showGridLines="0" zoomScaleNormal="100" workbookViewId="0">
      <selection activeCell="B8" sqref="B8"/>
    </sheetView>
  </sheetViews>
  <sheetFormatPr defaultColWidth="9.140625" defaultRowHeight="12.75"/>
  <cols>
    <col min="2" max="2" width="20.85546875" customWidth="1"/>
    <col min="8" max="8" width="2.28515625" customWidth="1"/>
    <col min="9" max="9" width="11.42578125" customWidth="1"/>
    <col min="10" max="10" width="5.7109375" customWidth="1"/>
    <col min="13" max="13" width="8.5703125" customWidth="1"/>
    <col min="14" max="14" width="8.42578125" customWidth="1"/>
    <col min="18" max="18" width="9.140625" hidden="1" customWidth="1"/>
  </cols>
  <sheetData>
    <row r="1" spans="1:18">
      <c r="A1" s="809" t="s">
        <v>392</v>
      </c>
      <c r="B1" s="572"/>
      <c r="C1" s="807" t="str">
        <f>'Component Unit Template'!G1</f>
        <v/>
      </c>
      <c r="D1" s="807"/>
      <c r="E1" s="807"/>
      <c r="F1" s="807"/>
      <c r="G1" s="807"/>
    </row>
    <row r="2" spans="1:18" ht="19.5" customHeight="1">
      <c r="A2" s="809" t="s">
        <v>404</v>
      </c>
      <c r="B2" s="572"/>
      <c r="C2" s="808" t="str">
        <f>IF('Component Unit Template'!G2="","",'Component Unit Template'!G2)</f>
        <v/>
      </c>
      <c r="D2" s="808"/>
      <c r="E2" s="808"/>
      <c r="F2" s="808"/>
      <c r="G2" s="808"/>
    </row>
    <row r="3" spans="1:18">
      <c r="A3" s="96"/>
      <c r="B3" s="96"/>
      <c r="C3" s="96"/>
      <c r="D3" s="96"/>
      <c r="E3" s="96"/>
      <c r="F3" s="96"/>
      <c r="G3" s="96"/>
    </row>
    <row r="4" spans="1:18">
      <c r="A4" s="97"/>
      <c r="B4" s="97"/>
      <c r="C4" s="97"/>
      <c r="D4" s="97"/>
      <c r="E4" s="97"/>
      <c r="F4" s="97"/>
      <c r="G4" s="97"/>
    </row>
    <row r="5" spans="1:18" s="100" customFormat="1" ht="10.5" customHeight="1">
      <c r="A5" s="810" t="s">
        <v>560</v>
      </c>
      <c r="B5" s="810"/>
      <c r="C5" s="810"/>
      <c r="D5" s="810"/>
      <c r="E5" s="810"/>
      <c r="F5" s="810"/>
      <c r="G5" s="810"/>
      <c r="H5" s="810"/>
      <c r="I5" s="810"/>
      <c r="J5" s="810"/>
      <c r="K5" s="810"/>
      <c r="L5" s="810"/>
      <c r="M5" s="810"/>
    </row>
    <row r="6" spans="1:18" s="100" customFormat="1" ht="24.75" customHeight="1">
      <c r="A6" s="810" t="s">
        <v>582</v>
      </c>
      <c r="B6" s="810"/>
      <c r="C6" s="810"/>
      <c r="D6" s="810"/>
      <c r="E6" s="810"/>
      <c r="F6" s="810"/>
      <c r="G6" s="810"/>
      <c r="H6" s="810"/>
      <c r="I6" s="810"/>
      <c r="J6" s="810"/>
      <c r="K6" s="810"/>
      <c r="L6" s="810"/>
      <c r="M6" s="810"/>
      <c r="R6" s="100" t="s">
        <v>403</v>
      </c>
    </row>
    <row r="7" spans="1:18" s="100" customFormat="1">
      <c r="A7" s="304"/>
      <c r="B7" s="27"/>
      <c r="C7" s="27"/>
      <c r="D7" s="27"/>
      <c r="E7" s="27"/>
      <c r="F7" s="27"/>
      <c r="G7" s="27"/>
      <c r="H7" s="27"/>
      <c r="I7" s="27"/>
      <c r="J7" s="27"/>
      <c r="R7" s="100" t="s">
        <v>492</v>
      </c>
    </row>
    <row r="8" spans="1:18" s="100" customFormat="1" ht="30.75" customHeight="1">
      <c r="A8" s="305" t="s">
        <v>561</v>
      </c>
      <c r="B8" s="306" t="s">
        <v>556</v>
      </c>
      <c r="C8" s="817" t="s">
        <v>562</v>
      </c>
      <c r="D8" s="818"/>
      <c r="E8" s="818"/>
      <c r="F8" s="818"/>
      <c r="G8" s="818"/>
      <c r="H8" s="818"/>
      <c r="I8" s="818"/>
      <c r="J8" s="818"/>
      <c r="K8" s="818"/>
      <c r="L8" s="818"/>
      <c r="M8" s="818"/>
    </row>
    <row r="9" spans="1:18" s="100" customFormat="1">
      <c r="A9" s="305"/>
      <c r="B9" s="308"/>
      <c r="C9" s="307"/>
      <c r="D9" s="27"/>
      <c r="E9" s="27"/>
      <c r="F9" s="27"/>
      <c r="G9" s="27"/>
      <c r="H9" s="27"/>
      <c r="I9" s="27"/>
      <c r="J9" s="27"/>
    </row>
    <row r="10" spans="1:18" s="100" customFormat="1">
      <c r="A10" s="305" t="s">
        <v>563</v>
      </c>
      <c r="B10" s="306" t="s">
        <v>556</v>
      </c>
      <c r="C10" s="814" t="s">
        <v>564</v>
      </c>
      <c r="D10" s="815"/>
      <c r="E10" s="815"/>
      <c r="F10" s="815"/>
      <c r="G10" s="815"/>
      <c r="H10" s="815"/>
      <c r="I10" s="815"/>
      <c r="J10" s="815"/>
      <c r="K10" s="815"/>
      <c r="L10" s="815"/>
      <c r="M10" s="816"/>
    </row>
    <row r="11" spans="1:18" s="100" customFormat="1">
      <c r="A11" s="305"/>
      <c r="B11" s="308"/>
      <c r="C11" s="825" t="s">
        <v>565</v>
      </c>
      <c r="D11" s="646"/>
      <c r="E11" s="646"/>
      <c r="F11" s="646"/>
      <c r="G11" s="646"/>
      <c r="H11" s="646"/>
      <c r="I11" s="646"/>
      <c r="J11" s="646"/>
      <c r="K11" s="646"/>
      <c r="L11" s="646"/>
      <c r="M11" s="826"/>
    </row>
    <row r="12" spans="1:18" s="100" customFormat="1" ht="25.5" customHeight="1">
      <c r="A12" s="305"/>
      <c r="B12" s="308"/>
      <c r="C12" s="827" t="s">
        <v>566</v>
      </c>
      <c r="D12" s="828"/>
      <c r="E12" s="828"/>
      <c r="F12" s="828"/>
      <c r="G12" s="828"/>
      <c r="H12" s="828"/>
      <c r="I12" s="828"/>
      <c r="J12" s="828"/>
      <c r="K12" s="828"/>
      <c r="L12" s="828"/>
      <c r="M12" s="829"/>
    </row>
    <row r="13" spans="1:18" s="100" customFormat="1">
      <c r="A13" s="31"/>
      <c r="B13" s="27"/>
      <c r="C13" s="27"/>
      <c r="D13" s="27"/>
      <c r="E13" s="27"/>
      <c r="F13" s="27"/>
      <c r="G13" s="27"/>
      <c r="H13" s="27"/>
      <c r="I13" s="27"/>
      <c r="J13" s="27"/>
    </row>
    <row r="14" spans="1:18" s="100" customFormat="1" ht="12.75" customHeight="1">
      <c r="A14" s="305" t="s">
        <v>567</v>
      </c>
      <c r="B14" s="306" t="s">
        <v>556</v>
      </c>
      <c r="C14" s="822" t="s">
        <v>568</v>
      </c>
      <c r="D14" s="823"/>
      <c r="E14" s="823"/>
      <c r="F14" s="823"/>
      <c r="G14" s="823"/>
      <c r="H14" s="823"/>
      <c r="I14" s="823"/>
      <c r="J14" s="823"/>
      <c r="K14" s="823"/>
      <c r="L14" s="823"/>
      <c r="M14" s="824"/>
    </row>
    <row r="15" spans="1:18" s="100" customFormat="1">
      <c r="A15" s="305"/>
      <c r="B15" s="308"/>
      <c r="C15" s="308"/>
      <c r="D15" s="27"/>
      <c r="E15" s="27"/>
      <c r="F15" s="27"/>
      <c r="G15" s="27"/>
      <c r="H15" s="27"/>
      <c r="I15" s="27"/>
      <c r="J15" s="27"/>
    </row>
    <row r="16" spans="1:18" s="100" customFormat="1" ht="27" customHeight="1">
      <c r="A16" s="305" t="s">
        <v>569</v>
      </c>
      <c r="B16" s="528" t="str">
        <f>IF(OR('Component Unit Template'!K241&lt;&gt;0,'Component Unit Template'!K242&lt;&gt;0),"Answer Required","N/A")</f>
        <v>N/A</v>
      </c>
      <c r="C16" s="814" t="s">
        <v>570</v>
      </c>
      <c r="D16" s="815"/>
      <c r="E16" s="815"/>
      <c r="F16" s="815"/>
      <c r="G16" s="815"/>
      <c r="H16" s="815"/>
      <c r="I16" s="815"/>
      <c r="J16" s="815"/>
      <c r="K16" s="815"/>
      <c r="L16" s="815"/>
      <c r="M16" s="816"/>
    </row>
    <row r="17" spans="1:15" s="100" customFormat="1" ht="12.75" customHeight="1">
      <c r="A17" s="305"/>
      <c r="B17" s="308"/>
      <c r="C17" s="830" t="s">
        <v>571</v>
      </c>
      <c r="D17" s="831"/>
      <c r="E17" s="831"/>
      <c r="F17" s="831"/>
      <c r="G17" s="831"/>
      <c r="H17" s="831"/>
      <c r="I17" s="831"/>
      <c r="J17" s="831"/>
      <c r="K17" s="831"/>
      <c r="L17" s="831"/>
      <c r="M17" s="832"/>
    </row>
    <row r="18" spans="1:15" s="100" customFormat="1" ht="25.5" customHeight="1">
      <c r="A18" s="305"/>
      <c r="B18" s="308"/>
      <c r="C18" s="819" t="s">
        <v>572</v>
      </c>
      <c r="D18" s="820"/>
      <c r="E18" s="820"/>
      <c r="F18" s="820"/>
      <c r="G18" s="820"/>
      <c r="H18" s="820"/>
      <c r="I18" s="820"/>
      <c r="J18" s="820"/>
      <c r="K18" s="820"/>
      <c r="L18" s="820"/>
      <c r="M18" s="821"/>
    </row>
    <row r="19" spans="1:15" s="100" customFormat="1">
      <c r="A19" s="31"/>
      <c r="B19" s="27"/>
      <c r="C19" s="27"/>
      <c r="D19" s="27"/>
      <c r="E19" s="27"/>
      <c r="F19" s="27"/>
      <c r="G19" s="27"/>
      <c r="H19" s="27"/>
      <c r="I19" s="27"/>
      <c r="J19" s="27"/>
    </row>
    <row r="20" spans="1:15" s="100" customFormat="1" ht="12.75" customHeight="1">
      <c r="A20" s="305" t="s">
        <v>573</v>
      </c>
      <c r="B20" s="306" t="s">
        <v>556</v>
      </c>
      <c r="C20" s="822" t="s">
        <v>574</v>
      </c>
      <c r="D20" s="823"/>
      <c r="E20" s="823"/>
      <c r="F20" s="823"/>
      <c r="G20" s="823"/>
      <c r="H20" s="823"/>
      <c r="I20" s="823"/>
      <c r="J20" s="823"/>
      <c r="K20" s="823"/>
      <c r="L20" s="823"/>
      <c r="M20" s="824"/>
    </row>
    <row r="21" spans="1:15" s="100" customFormat="1">
      <c r="A21" s="31"/>
      <c r="B21" s="27"/>
      <c r="C21" s="27"/>
      <c r="D21" s="27"/>
      <c r="E21" s="27"/>
      <c r="F21" s="27"/>
      <c r="G21" s="27"/>
      <c r="H21" s="27"/>
      <c r="I21" s="27"/>
      <c r="J21" s="27"/>
    </row>
    <row r="22" spans="1:15" s="100" customFormat="1" ht="27" customHeight="1">
      <c r="A22" s="305" t="s">
        <v>575</v>
      </c>
      <c r="B22" s="306" t="s">
        <v>556</v>
      </c>
      <c r="C22" s="811" t="s">
        <v>667</v>
      </c>
      <c r="D22" s="812"/>
      <c r="E22" s="812"/>
      <c r="F22" s="812"/>
      <c r="G22" s="812"/>
      <c r="H22" s="812"/>
      <c r="I22" s="812"/>
      <c r="J22" s="812"/>
      <c r="K22" s="812"/>
      <c r="L22" s="812"/>
      <c r="M22" s="813"/>
    </row>
    <row r="23" spans="1:15" s="100" customFormat="1">
      <c r="A23" s="304"/>
      <c r="B23" s="27"/>
      <c r="C23" s="27"/>
      <c r="D23" s="27"/>
      <c r="E23" s="27"/>
      <c r="F23" s="27"/>
      <c r="G23" s="27"/>
      <c r="H23" s="27"/>
      <c r="I23" s="27"/>
      <c r="J23" s="27"/>
    </row>
    <row r="24" spans="1:15" s="100" customFormat="1" ht="28.5" customHeight="1">
      <c r="A24" s="340" t="s">
        <v>576</v>
      </c>
      <c r="B24" s="306" t="s">
        <v>556</v>
      </c>
      <c r="C24" s="814" t="s">
        <v>595</v>
      </c>
      <c r="D24" s="815"/>
      <c r="E24" s="815"/>
      <c r="F24" s="815"/>
      <c r="G24" s="815"/>
      <c r="H24" s="815"/>
      <c r="I24" s="815"/>
      <c r="J24" s="815"/>
      <c r="K24" s="815"/>
      <c r="L24" s="815"/>
      <c r="M24" s="816"/>
    </row>
    <row r="25" spans="1:15" s="100" customFormat="1" ht="51.75" customHeight="1">
      <c r="A25" s="309"/>
      <c r="C25" s="833" t="s">
        <v>641</v>
      </c>
      <c r="D25" s="834"/>
      <c r="E25" s="834"/>
      <c r="F25" s="834"/>
      <c r="G25" s="834"/>
      <c r="H25" s="834"/>
      <c r="I25" s="834"/>
      <c r="J25" s="834"/>
      <c r="K25" s="834"/>
      <c r="L25" s="834"/>
      <c r="M25" s="835"/>
    </row>
    <row r="26" spans="1:15" s="100" customFormat="1">
      <c r="A26" s="309"/>
      <c r="B26" s="27"/>
      <c r="C26" s="27"/>
      <c r="D26" s="27"/>
      <c r="E26" s="27"/>
      <c r="F26" s="27"/>
      <c r="G26" s="27"/>
      <c r="H26" s="27"/>
      <c r="I26" s="27"/>
      <c r="J26" s="27"/>
    </row>
    <row r="27" spans="1:15" s="100" customFormat="1" ht="12.75" hidden="1" customHeight="1">
      <c r="H27" s="27"/>
      <c r="I27" s="27"/>
      <c r="J27" s="27"/>
      <c r="K27" s="806"/>
      <c r="L27" s="806"/>
      <c r="M27" s="806"/>
      <c r="N27" s="806"/>
      <c r="O27" s="806"/>
    </row>
    <row r="28" spans="1:15" s="100" customFormat="1" ht="12.75" customHeight="1">
      <c r="B28" s="101" t="s">
        <v>501</v>
      </c>
      <c r="H28" s="27"/>
      <c r="I28" s="26" t="s">
        <v>353</v>
      </c>
      <c r="J28" s="26"/>
      <c r="K28" s="806"/>
      <c r="L28" s="806"/>
      <c r="M28" s="806"/>
      <c r="N28" s="806"/>
      <c r="O28" s="806"/>
    </row>
    <row r="29" spans="1:15" s="100" customFormat="1">
      <c r="H29" s="27"/>
      <c r="I29" s="27"/>
      <c r="J29" s="27"/>
    </row>
    <row r="30" spans="1:15" s="100" customFormat="1" ht="12.75" customHeight="1">
      <c r="A30" s="102"/>
      <c r="B30" s="310" t="s">
        <v>502</v>
      </c>
      <c r="C30" s="804"/>
      <c r="D30" s="805"/>
      <c r="E30" s="805"/>
      <c r="F30" s="805"/>
      <c r="G30" s="805"/>
      <c r="H30" s="27"/>
      <c r="I30" s="246"/>
      <c r="J30" s="311"/>
      <c r="L30" s="806" t="s">
        <v>605</v>
      </c>
      <c r="M30" s="806"/>
      <c r="N30" s="806"/>
      <c r="O30" s="806"/>
    </row>
    <row r="31" spans="1:15" s="100" customFormat="1">
      <c r="A31" s="102"/>
      <c r="B31" s="310" t="s">
        <v>503</v>
      </c>
      <c r="C31" s="804"/>
      <c r="D31" s="805"/>
      <c r="E31" s="805"/>
      <c r="F31" s="805"/>
      <c r="G31" s="805"/>
      <c r="H31" s="27"/>
      <c r="I31" s="27"/>
      <c r="J31" s="27"/>
      <c r="L31" s="806"/>
      <c r="M31" s="806"/>
      <c r="N31" s="806"/>
      <c r="O31" s="806"/>
    </row>
    <row r="32" spans="1:15" s="103" customFormat="1" ht="12.6" customHeight="1">
      <c r="B32" s="104"/>
      <c r="H32" s="27"/>
      <c r="I32" s="27"/>
      <c r="J32" s="27"/>
      <c r="L32" s="312"/>
    </row>
    <row r="33" spans="1:15" s="103" customFormat="1" ht="13.5" customHeight="1">
      <c r="A33" s="102"/>
      <c r="B33" s="310" t="s">
        <v>502</v>
      </c>
      <c r="C33" s="804"/>
      <c r="D33" s="805"/>
      <c r="E33" s="805"/>
      <c r="F33" s="805"/>
      <c r="G33" s="805"/>
      <c r="H33" s="27"/>
      <c r="I33" s="246"/>
      <c r="J33" s="311"/>
      <c r="K33" s="100"/>
      <c r="L33" s="806" t="s">
        <v>605</v>
      </c>
      <c r="M33" s="806"/>
      <c r="N33" s="806"/>
      <c r="O33" s="806"/>
    </row>
    <row r="34" spans="1:15" s="103" customFormat="1" ht="12.6" customHeight="1">
      <c r="A34" s="102"/>
      <c r="B34" s="310" t="s">
        <v>503</v>
      </c>
      <c r="C34" s="804"/>
      <c r="D34" s="805"/>
      <c r="E34" s="805"/>
      <c r="F34" s="805"/>
      <c r="G34" s="805"/>
      <c r="H34" s="27"/>
      <c r="I34" s="27"/>
      <c r="J34" s="27"/>
      <c r="K34" s="100"/>
      <c r="L34" s="806"/>
      <c r="M34" s="806"/>
      <c r="N34" s="806"/>
      <c r="O34" s="806"/>
    </row>
    <row r="35" spans="1:15" s="103" customFormat="1" ht="12.6" customHeight="1">
      <c r="B35" s="104"/>
      <c r="H35" s="27"/>
      <c r="I35" s="27"/>
      <c r="J35" s="27"/>
      <c r="L35" s="312"/>
    </row>
    <row r="36" spans="1:15" s="103" customFormat="1" ht="13.5" customHeight="1">
      <c r="A36" s="102"/>
      <c r="B36" s="310" t="s">
        <v>502</v>
      </c>
      <c r="C36" s="804"/>
      <c r="D36" s="805"/>
      <c r="E36" s="805"/>
      <c r="F36" s="805"/>
      <c r="G36" s="805"/>
      <c r="H36" s="27"/>
      <c r="I36" s="246"/>
      <c r="J36" s="311"/>
      <c r="K36" s="100"/>
      <c r="L36" s="806" t="s">
        <v>605</v>
      </c>
      <c r="M36" s="806"/>
      <c r="N36" s="806"/>
      <c r="O36" s="806"/>
    </row>
    <row r="37" spans="1:15" s="103" customFormat="1" ht="12.6" customHeight="1">
      <c r="A37" s="102"/>
      <c r="B37" s="310" t="s">
        <v>503</v>
      </c>
      <c r="C37" s="804"/>
      <c r="D37" s="805"/>
      <c r="E37" s="805"/>
      <c r="F37" s="805"/>
      <c r="G37" s="805"/>
      <c r="H37" s="27"/>
      <c r="I37" s="27"/>
      <c r="J37" s="27"/>
      <c r="K37" s="100"/>
      <c r="L37" s="806"/>
      <c r="M37" s="806"/>
      <c r="N37" s="806"/>
      <c r="O37" s="806"/>
    </row>
    <row r="38" spans="1:15" s="103" customFormat="1" ht="12.6" customHeight="1">
      <c r="A38" s="100"/>
      <c r="B38" s="100"/>
      <c r="C38" s="100"/>
      <c r="D38" s="100"/>
      <c r="E38" s="100"/>
      <c r="F38" s="100"/>
      <c r="G38" s="100"/>
      <c r="H38" s="27"/>
      <c r="I38" s="27"/>
      <c r="J38" s="27"/>
      <c r="L38" s="312"/>
    </row>
    <row r="39" spans="1:15" s="103" customFormat="1" ht="13.5" customHeight="1">
      <c r="A39" s="102"/>
      <c r="B39" s="310" t="s">
        <v>502</v>
      </c>
      <c r="C39" s="804"/>
      <c r="D39" s="805"/>
      <c r="E39" s="805"/>
      <c r="F39" s="805"/>
      <c r="G39" s="805"/>
      <c r="H39" s="27"/>
      <c r="I39" s="246"/>
      <c r="J39" s="311"/>
      <c r="K39" s="100"/>
      <c r="L39" s="806" t="s">
        <v>605</v>
      </c>
      <c r="M39" s="806"/>
      <c r="N39" s="806"/>
      <c r="O39" s="806"/>
    </row>
    <row r="40" spans="1:15" s="100" customFormat="1">
      <c r="A40" s="102"/>
      <c r="B40" s="310" t="s">
        <v>503</v>
      </c>
      <c r="C40" s="804"/>
      <c r="D40" s="805"/>
      <c r="E40" s="805"/>
      <c r="F40" s="805"/>
      <c r="G40" s="805"/>
      <c r="H40" s="27"/>
      <c r="I40" s="27"/>
      <c r="J40" s="27"/>
      <c r="L40" s="806"/>
      <c r="M40" s="806"/>
      <c r="N40" s="806"/>
      <c r="O40" s="806"/>
    </row>
    <row r="41" spans="1:15" s="103" customFormat="1" ht="12.6" customHeight="1">
      <c r="A41" s="100"/>
      <c r="B41" s="100"/>
      <c r="C41" s="100"/>
      <c r="D41" s="100"/>
      <c r="E41" s="100"/>
      <c r="F41" s="100"/>
      <c r="G41" s="100"/>
      <c r="H41" s="27"/>
      <c r="I41" s="27"/>
      <c r="J41" s="27"/>
      <c r="L41" s="312"/>
    </row>
    <row r="42" spans="1:15" s="103" customFormat="1" ht="13.5" customHeight="1">
      <c r="A42" s="100"/>
      <c r="B42" s="101" t="s">
        <v>504</v>
      </c>
      <c r="C42" s="100"/>
      <c r="D42" s="100"/>
      <c r="E42" s="100"/>
      <c r="F42" s="100"/>
      <c r="G42" s="100"/>
      <c r="H42" s="27"/>
      <c r="I42" s="26" t="s">
        <v>353</v>
      </c>
      <c r="J42" s="26"/>
      <c r="L42" s="312"/>
    </row>
    <row r="43" spans="1:15" s="100" customFormat="1">
      <c r="H43" s="27"/>
      <c r="I43" s="27"/>
      <c r="J43" s="27"/>
    </row>
    <row r="44" spans="1:15" s="100" customFormat="1" ht="12.75" customHeight="1">
      <c r="A44" s="102"/>
      <c r="B44" s="310" t="s">
        <v>502</v>
      </c>
      <c r="C44" s="804"/>
      <c r="D44" s="805"/>
      <c r="E44" s="805"/>
      <c r="F44" s="805"/>
      <c r="G44" s="805"/>
      <c r="H44" s="27"/>
      <c r="I44" s="246"/>
      <c r="J44" s="311"/>
      <c r="L44" s="806" t="s">
        <v>606</v>
      </c>
      <c r="M44" s="806"/>
      <c r="N44" s="806"/>
      <c r="O44" s="806"/>
    </row>
    <row r="45" spans="1:15" s="100" customFormat="1">
      <c r="A45" s="102"/>
      <c r="B45" s="310" t="s">
        <v>503</v>
      </c>
      <c r="C45" s="804"/>
      <c r="D45" s="805"/>
      <c r="E45" s="805"/>
      <c r="F45" s="805"/>
      <c r="G45" s="805"/>
      <c r="H45" s="27"/>
      <c r="I45" s="27"/>
      <c r="J45" s="27"/>
      <c r="L45" s="806"/>
      <c r="M45" s="806"/>
      <c r="N45" s="806"/>
      <c r="O45" s="806"/>
    </row>
    <row r="46" spans="1:15" s="103" customFormat="1" ht="12.6" customHeight="1">
      <c r="B46" s="104"/>
      <c r="H46" s="27"/>
      <c r="I46" s="27"/>
      <c r="J46" s="27"/>
      <c r="L46" s="312"/>
    </row>
    <row r="47" spans="1:15" s="103" customFormat="1" ht="13.5" customHeight="1">
      <c r="A47" s="102"/>
      <c r="B47" s="310" t="s">
        <v>502</v>
      </c>
      <c r="C47" s="804"/>
      <c r="D47" s="805"/>
      <c r="E47" s="805"/>
      <c r="F47" s="805"/>
      <c r="G47" s="805"/>
      <c r="H47" s="27"/>
      <c r="I47" s="246"/>
      <c r="J47" s="311"/>
      <c r="K47" s="100"/>
      <c r="L47" s="806" t="s">
        <v>606</v>
      </c>
      <c r="M47" s="806"/>
      <c r="N47" s="806"/>
      <c r="O47" s="806"/>
    </row>
    <row r="48" spans="1:15" s="103" customFormat="1" ht="12.6" customHeight="1">
      <c r="A48" s="102"/>
      <c r="B48" s="310" t="s">
        <v>503</v>
      </c>
      <c r="C48" s="804"/>
      <c r="D48" s="805"/>
      <c r="E48" s="805"/>
      <c r="F48" s="805"/>
      <c r="G48" s="805"/>
      <c r="H48" s="27"/>
      <c r="I48" s="27"/>
      <c r="J48" s="27"/>
      <c r="K48" s="100"/>
      <c r="L48" s="806"/>
      <c r="M48" s="806"/>
      <c r="N48" s="806"/>
      <c r="O48" s="806"/>
    </row>
    <row r="49" spans="1:15" s="103" customFormat="1" ht="12.6" customHeight="1">
      <c r="B49" s="104"/>
      <c r="H49" s="27"/>
      <c r="I49" s="27"/>
      <c r="J49" s="27"/>
      <c r="L49" s="312"/>
    </row>
    <row r="50" spans="1:15" s="103" customFormat="1" ht="13.5" customHeight="1">
      <c r="A50" s="102"/>
      <c r="B50" s="310" t="s">
        <v>502</v>
      </c>
      <c r="C50" s="804"/>
      <c r="D50" s="805"/>
      <c r="E50" s="805"/>
      <c r="F50" s="805"/>
      <c r="G50" s="805"/>
      <c r="H50" s="27"/>
      <c r="I50" s="246"/>
      <c r="J50" s="311"/>
      <c r="K50" s="100"/>
      <c r="L50" s="806" t="s">
        <v>606</v>
      </c>
      <c r="M50" s="806"/>
      <c r="N50" s="806"/>
      <c r="O50" s="806"/>
    </row>
    <row r="51" spans="1:15" s="103" customFormat="1" ht="12.6" customHeight="1">
      <c r="A51" s="102"/>
      <c r="B51" s="310" t="s">
        <v>503</v>
      </c>
      <c r="C51" s="804"/>
      <c r="D51" s="805"/>
      <c r="E51" s="805"/>
      <c r="F51" s="805"/>
      <c r="G51" s="805"/>
      <c r="H51" s="27"/>
      <c r="I51" s="27"/>
      <c r="J51" s="27"/>
      <c r="K51" s="100"/>
      <c r="L51" s="806"/>
      <c r="M51" s="806"/>
      <c r="N51" s="806"/>
      <c r="O51" s="806"/>
    </row>
    <row r="52" spans="1:15" s="103" customFormat="1" ht="12.6" customHeight="1">
      <c r="A52" s="100"/>
      <c r="B52" s="100"/>
      <c r="C52" s="100"/>
      <c r="D52" s="100"/>
      <c r="E52" s="100"/>
      <c r="F52" s="100"/>
      <c r="G52" s="100"/>
      <c r="H52" s="27"/>
      <c r="I52" s="27"/>
      <c r="J52" s="27"/>
      <c r="L52" s="312"/>
    </row>
    <row r="53" spans="1:15" s="103" customFormat="1" ht="13.5" customHeight="1">
      <c r="A53" s="102"/>
      <c r="B53" s="310" t="s">
        <v>502</v>
      </c>
      <c r="C53" s="804"/>
      <c r="D53" s="805"/>
      <c r="E53" s="805"/>
      <c r="F53" s="805"/>
      <c r="G53" s="805"/>
      <c r="H53" s="27"/>
      <c r="I53" s="246"/>
      <c r="J53" s="311"/>
      <c r="K53" s="100"/>
      <c r="L53" s="806" t="s">
        <v>606</v>
      </c>
      <c r="M53" s="806"/>
      <c r="N53" s="806"/>
      <c r="O53" s="806"/>
    </row>
    <row r="54" spans="1:15" s="100" customFormat="1">
      <c r="A54" s="102"/>
      <c r="B54" s="310" t="s">
        <v>503</v>
      </c>
      <c r="C54" s="804"/>
      <c r="D54" s="805"/>
      <c r="E54" s="805"/>
      <c r="F54" s="805"/>
      <c r="G54" s="805"/>
      <c r="H54" s="27"/>
      <c r="I54" s="27"/>
      <c r="J54" s="27"/>
      <c r="L54" s="806"/>
      <c r="M54" s="806"/>
      <c r="N54" s="806"/>
      <c r="O54" s="806"/>
    </row>
    <row r="55" spans="1:15" s="100" customFormat="1"/>
  </sheetData>
  <sheetProtection algorithmName="SHA-512" hashValue="Pd/xF6cUXNOXAuj+pzZ63BOSvnUcyfko5GdkdJgKdlK0sKwciD9Pt0NQh4aO6saBKuSHxrOC400jfF4owTepTQ==" saltValue="BrGYTaJEjat64ZnVLbhVoQ==" spinCount="100000" sheet="1" objects="1" scenarios="1"/>
  <customSheetViews>
    <customSheetView guid="{21549FED-0843-409C-B56D-2EB16B98EF5E}" showGridLines="0" hiddenRows="1" hiddenColumns="1">
      <selection activeCell="B8" sqref="B8"/>
      <colBreaks count="1" manualBreakCount="1">
        <brk id="15" max="1048575" man="1"/>
      </colBreaks>
      <pageMargins left="0.5" right="0.25" top="0.89" bottom="0.78" header="0.31" footer="0.5"/>
      <pageSetup scale="70" orientation="portrait" r:id="rId1"/>
      <headerFooter alignWithMargins="0">
        <oddHeader>&amp;C&amp;"Times New Roman,Bold"Attachment CU4 - FASB Foundations
Financial Statement Template (FST)
&amp;A</oddHeader>
        <oddFooter>&amp;L&amp;"Times New Roman,Regular"&amp;F \ &amp;A&amp;R&amp;"Times New Roman,Regular"Page &amp;P</oddFooter>
      </headerFooter>
    </customSheetView>
    <customSheetView guid="{83B11BDE-9087-4120-8F71-87939A6C277C}" showGridLines="0" hiddenRows="1" hiddenColumns="1">
      <selection activeCell="B29" sqref="B29"/>
      <colBreaks count="1" manualBreakCount="1">
        <brk id="15" max="1048575" man="1"/>
      </colBreaks>
      <pageMargins left="0.5" right="0.25" top="0.89" bottom="0.78" header="0.31" footer="0.5"/>
      <pageSetup scale="70" orientation="portrait" r:id="rId2"/>
      <headerFooter alignWithMargins="0">
        <oddHeader>&amp;C&amp;"Times New Roman,Bold"Attachment CU4 - FASB Foundations
Financial Statement Template (FST)
&amp;A</oddHeader>
        <oddFooter>&amp;L&amp;"Times New Roman,Regular"&amp;F \ &amp;A&amp;R&amp;"Times New Roman,Regular"Page &amp;P</oddFooter>
      </headerFooter>
    </customSheetView>
    <customSheetView guid="{5A69DEB5-9E8B-40C6-849E-49B804F6ED86}" showGridLines="0" hiddenRows="1" hiddenColumns="1">
      <selection activeCell="B29" sqref="B29"/>
      <colBreaks count="1" manualBreakCount="1">
        <brk id="15" max="1048575" man="1"/>
      </colBreaks>
      <pageMargins left="0.5" right="0.25" top="0.89" bottom="0.78" header="0.31" footer="0.5"/>
      <pageSetup scale="70" orientation="portrait" r:id="rId3"/>
      <headerFooter alignWithMargins="0">
        <oddHeader>&amp;C&amp;"Times New Roman,Bold"Attachment CU4 - FASB Foundations
Financial Statement Template (FST)
&amp;A</oddHeader>
        <oddFooter>&amp;L&amp;"Times New Roman,Regular"&amp;F \ &amp;A&amp;R&amp;"Times New Roman,Regular"Page &amp;P</oddFooter>
      </headerFooter>
    </customSheetView>
    <customSheetView guid="{C3905544-E3E5-4318-8AA2-F7DE16A9B8E7}" showGridLines="0" hiddenRows="1" hiddenColumns="1">
      <selection activeCell="B29" sqref="B29"/>
      <colBreaks count="1" manualBreakCount="1">
        <brk id="15" max="1048575" man="1"/>
      </colBreaks>
      <pageMargins left="0.5" right="0.25" top="0.89" bottom="0.78" header="0.31" footer="0.5"/>
      <pageSetup scale="70" orientation="portrait" r:id="rId4"/>
      <headerFooter alignWithMargins="0">
        <oddHeader>&amp;C&amp;"Times New Roman,Bold"Attachment CU4 - FASB Foundations
Financial Statement Template (FST)
&amp;A</oddHeader>
        <oddFooter>&amp;L&amp;"Times New Roman,Regular"&amp;F \ &amp;A&amp;R&amp;"Times New Roman,Regular"Page &amp;P</oddFooter>
      </headerFooter>
    </customSheetView>
  </customSheetViews>
  <mergeCells count="43">
    <mergeCell ref="C22:M22"/>
    <mergeCell ref="C24:M24"/>
    <mergeCell ref="C33:G33"/>
    <mergeCell ref="C30:G30"/>
    <mergeCell ref="A6:M6"/>
    <mergeCell ref="C8:M8"/>
    <mergeCell ref="C10:M10"/>
    <mergeCell ref="C18:M18"/>
    <mergeCell ref="C20:M20"/>
    <mergeCell ref="C11:M11"/>
    <mergeCell ref="C12:M12"/>
    <mergeCell ref="C14:M14"/>
    <mergeCell ref="C16:M16"/>
    <mergeCell ref="C17:M17"/>
    <mergeCell ref="C25:M25"/>
    <mergeCell ref="K27:O28"/>
    <mergeCell ref="C1:G1"/>
    <mergeCell ref="C2:G2"/>
    <mergeCell ref="A1:B1"/>
    <mergeCell ref="A2:B2"/>
    <mergeCell ref="A5:M5"/>
    <mergeCell ref="L30:O31"/>
    <mergeCell ref="C31:G31"/>
    <mergeCell ref="L33:O34"/>
    <mergeCell ref="C34:G34"/>
    <mergeCell ref="C36:G36"/>
    <mergeCell ref="L36:O37"/>
    <mergeCell ref="C37:G37"/>
    <mergeCell ref="C39:G39"/>
    <mergeCell ref="L39:O40"/>
    <mergeCell ref="C40:G40"/>
    <mergeCell ref="C44:G44"/>
    <mergeCell ref="L44:O45"/>
    <mergeCell ref="C45:G45"/>
    <mergeCell ref="C53:G53"/>
    <mergeCell ref="L53:O54"/>
    <mergeCell ref="C54:G54"/>
    <mergeCell ref="C47:G47"/>
    <mergeCell ref="L47:O48"/>
    <mergeCell ref="C48:G48"/>
    <mergeCell ref="C50:G50"/>
    <mergeCell ref="L50:O51"/>
    <mergeCell ref="C51:G51"/>
  </mergeCells>
  <phoneticPr fontId="26" type="noConversion"/>
  <conditionalFormatting sqref="B8 B10 B14 B20 B22">
    <cfRule type="cellIs" dxfId="9" priority="35" operator="equal">
      <formula>"Error"</formula>
    </cfRule>
  </conditionalFormatting>
  <conditionalFormatting sqref="B8">
    <cfRule type="cellIs" dxfId="8" priority="33" operator="equal">
      <formula>"Answer Required"</formula>
    </cfRule>
  </conditionalFormatting>
  <conditionalFormatting sqref="B10">
    <cfRule type="cellIs" dxfId="7" priority="10" operator="equal">
      <formula>"Answer Required"</formula>
    </cfRule>
  </conditionalFormatting>
  <conditionalFormatting sqref="B14">
    <cfRule type="cellIs" dxfId="6" priority="9" operator="equal">
      <formula>"Answer Required"</formula>
    </cfRule>
  </conditionalFormatting>
  <conditionalFormatting sqref="B16">
    <cfRule type="cellIs" dxfId="5" priority="1" operator="equal">
      <formula>"Answer Required"</formula>
    </cfRule>
    <cfRule type="cellIs" dxfId="4" priority="2" operator="equal">
      <formula>"Error"</formula>
    </cfRule>
  </conditionalFormatting>
  <conditionalFormatting sqref="B20">
    <cfRule type="cellIs" dxfId="3" priority="7" operator="equal">
      <formula>"Answer Required"</formula>
    </cfRule>
  </conditionalFormatting>
  <conditionalFormatting sqref="B22">
    <cfRule type="cellIs" dxfId="2" priority="6" operator="equal">
      <formula>"Answer Required"</formula>
    </cfRule>
  </conditionalFormatting>
  <conditionalFormatting sqref="B24">
    <cfRule type="cellIs" dxfId="1" priority="3" operator="equal">
      <formula>"Answer Required"</formula>
    </cfRule>
    <cfRule type="cellIs" dxfId="0" priority="4" operator="equal">
      <formula>"Error"</formula>
    </cfRule>
  </conditionalFormatting>
  <dataValidations count="1">
    <dataValidation type="list" allowBlank="1" showInputMessage="1" showErrorMessage="1" error="Please use drop-down list to select Yes or No" sqref="B8 B10 B14 B24 B20 B22 B16" xr:uid="{00000000-0002-0000-0C00-000000000000}">
      <formula1>$R$6:$R$7</formula1>
    </dataValidation>
  </dataValidations>
  <pageMargins left="0.75" right="0.25" top="0.89" bottom="0.78" header="0.31" footer="0.5"/>
  <pageSetup scale="68" orientation="portrait" cellComments="asDisplayed" r:id="rId5"/>
  <headerFooter alignWithMargins="0">
    <oddHeader>&amp;C&amp;"Times New Roman,Bold"Attachment CU4 - FASB Foundations
Financial Statement Template (FST)
&amp;A</oddHeader>
    <oddFooter>&amp;L&amp;"Times New Roman,Regular"&amp;F \ &amp;A&amp;RPage &amp;P</oddFooter>
  </headerFooter>
  <colBreaks count="1" manualBreakCount="1">
    <brk id="15"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36866" r:id="rId8" name="Check Box 2">
              <controlPr defaultSize="0" autoFill="0" autoLine="0" autoPict="0">
                <anchor moveWithCells="1">
                  <from>
                    <xdr:col>10</xdr:col>
                    <xdr:colOff>142875</xdr:colOff>
                    <xdr:row>29</xdr:row>
                    <xdr:rowOff>19050</xdr:rowOff>
                  </from>
                  <to>
                    <xdr:col>10</xdr:col>
                    <xdr:colOff>352425</xdr:colOff>
                    <xdr:row>30</xdr:row>
                    <xdr:rowOff>9525</xdr:rowOff>
                  </to>
                </anchor>
              </controlPr>
            </control>
          </mc:Choice>
        </mc:AlternateContent>
        <mc:AlternateContent xmlns:mc="http://schemas.openxmlformats.org/markup-compatibility/2006">
          <mc:Choice Requires="x14">
            <control shapeId="36867" r:id="rId9" name="Check Box 3">
              <controlPr defaultSize="0" autoFill="0" autoLine="0" autoPict="0">
                <anchor moveWithCells="1">
                  <from>
                    <xdr:col>10</xdr:col>
                    <xdr:colOff>142875</xdr:colOff>
                    <xdr:row>32</xdr:row>
                    <xdr:rowOff>19050</xdr:rowOff>
                  </from>
                  <to>
                    <xdr:col>10</xdr:col>
                    <xdr:colOff>352425</xdr:colOff>
                    <xdr:row>33</xdr:row>
                    <xdr:rowOff>0</xdr:rowOff>
                  </to>
                </anchor>
              </controlPr>
            </control>
          </mc:Choice>
        </mc:AlternateContent>
        <mc:AlternateContent xmlns:mc="http://schemas.openxmlformats.org/markup-compatibility/2006">
          <mc:Choice Requires="x14">
            <control shapeId="36868" r:id="rId10" name="Check Box 4">
              <controlPr defaultSize="0" autoFill="0" autoLine="0" autoPict="0">
                <anchor moveWithCells="1">
                  <from>
                    <xdr:col>10</xdr:col>
                    <xdr:colOff>161925</xdr:colOff>
                    <xdr:row>35</xdr:row>
                    <xdr:rowOff>19050</xdr:rowOff>
                  </from>
                  <to>
                    <xdr:col>10</xdr:col>
                    <xdr:colOff>371475</xdr:colOff>
                    <xdr:row>36</xdr:row>
                    <xdr:rowOff>0</xdr:rowOff>
                  </to>
                </anchor>
              </controlPr>
            </control>
          </mc:Choice>
        </mc:AlternateContent>
        <mc:AlternateContent xmlns:mc="http://schemas.openxmlformats.org/markup-compatibility/2006">
          <mc:Choice Requires="x14">
            <control shapeId="36869" r:id="rId11" name="Check Box 5">
              <controlPr defaultSize="0" autoFill="0" autoLine="0" autoPict="0">
                <anchor moveWithCells="1">
                  <from>
                    <xdr:col>10</xdr:col>
                    <xdr:colOff>180975</xdr:colOff>
                    <xdr:row>38</xdr:row>
                    <xdr:rowOff>28575</xdr:rowOff>
                  </from>
                  <to>
                    <xdr:col>10</xdr:col>
                    <xdr:colOff>390525</xdr:colOff>
                    <xdr:row>39</xdr:row>
                    <xdr:rowOff>9525</xdr:rowOff>
                  </to>
                </anchor>
              </controlPr>
            </control>
          </mc:Choice>
        </mc:AlternateContent>
        <mc:AlternateContent xmlns:mc="http://schemas.openxmlformats.org/markup-compatibility/2006">
          <mc:Choice Requires="x14">
            <control shapeId="36870" r:id="rId12" name="Check Box 6">
              <controlPr defaultSize="0" autoFill="0" autoLine="0" autoPict="0">
                <anchor moveWithCells="1">
                  <from>
                    <xdr:col>10</xdr:col>
                    <xdr:colOff>228600</xdr:colOff>
                    <xdr:row>46</xdr:row>
                    <xdr:rowOff>9525</xdr:rowOff>
                  </from>
                  <to>
                    <xdr:col>10</xdr:col>
                    <xdr:colOff>438150</xdr:colOff>
                    <xdr:row>46</xdr:row>
                    <xdr:rowOff>161925</xdr:rowOff>
                  </to>
                </anchor>
              </controlPr>
            </control>
          </mc:Choice>
        </mc:AlternateContent>
        <mc:AlternateContent xmlns:mc="http://schemas.openxmlformats.org/markup-compatibility/2006">
          <mc:Choice Requires="x14">
            <control shapeId="36871" r:id="rId13" name="Check Box 7">
              <controlPr defaultSize="0" autoFill="0" autoLine="0" autoPict="0">
                <anchor moveWithCells="1">
                  <from>
                    <xdr:col>10</xdr:col>
                    <xdr:colOff>200025</xdr:colOff>
                    <xdr:row>43</xdr:row>
                    <xdr:rowOff>9525</xdr:rowOff>
                  </from>
                  <to>
                    <xdr:col>10</xdr:col>
                    <xdr:colOff>409575</xdr:colOff>
                    <xdr:row>44</xdr:row>
                    <xdr:rowOff>0</xdr:rowOff>
                  </to>
                </anchor>
              </controlPr>
            </control>
          </mc:Choice>
        </mc:AlternateContent>
        <mc:AlternateContent xmlns:mc="http://schemas.openxmlformats.org/markup-compatibility/2006">
          <mc:Choice Requires="x14">
            <control shapeId="36872" r:id="rId14" name="Check Box 8">
              <controlPr defaultSize="0" autoFill="0" autoLine="0" autoPict="0">
                <anchor moveWithCells="1">
                  <from>
                    <xdr:col>10</xdr:col>
                    <xdr:colOff>238125</xdr:colOff>
                    <xdr:row>49</xdr:row>
                    <xdr:rowOff>28575</xdr:rowOff>
                  </from>
                  <to>
                    <xdr:col>10</xdr:col>
                    <xdr:colOff>447675</xdr:colOff>
                    <xdr:row>50</xdr:row>
                    <xdr:rowOff>9525</xdr:rowOff>
                  </to>
                </anchor>
              </controlPr>
            </control>
          </mc:Choice>
        </mc:AlternateContent>
        <mc:AlternateContent xmlns:mc="http://schemas.openxmlformats.org/markup-compatibility/2006">
          <mc:Choice Requires="x14">
            <control shapeId="36873" r:id="rId15" name="Check Box 9">
              <controlPr defaultSize="0" autoFill="0" autoLine="0" autoPict="0">
                <anchor moveWithCells="1">
                  <from>
                    <xdr:col>10</xdr:col>
                    <xdr:colOff>247650</xdr:colOff>
                    <xdr:row>52</xdr:row>
                    <xdr:rowOff>19050</xdr:rowOff>
                  </from>
                  <to>
                    <xdr:col>10</xdr:col>
                    <xdr:colOff>457200</xdr:colOff>
                    <xdr:row>53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74"/>
  <sheetViews>
    <sheetView showGridLines="0" zoomScaleNormal="100" workbookViewId="0">
      <selection activeCell="C3" sqref="C3:E3"/>
    </sheetView>
  </sheetViews>
  <sheetFormatPr defaultColWidth="9.140625" defaultRowHeight="11.25"/>
  <cols>
    <col min="1" max="1" width="11.140625" style="21" customWidth="1"/>
    <col min="2" max="2" width="29.7109375" style="21" customWidth="1"/>
    <col min="3" max="4" width="8.7109375" style="21" customWidth="1"/>
    <col min="5" max="6" width="24.7109375" style="21" customWidth="1"/>
    <col min="7" max="7" width="12.7109375" style="21" customWidth="1"/>
    <col min="8" max="16384" width="9.140625" style="21"/>
  </cols>
  <sheetData>
    <row r="1" spans="1:8" ht="11.25" customHeight="1">
      <c r="A1" s="836" t="s">
        <v>392</v>
      </c>
      <c r="B1" s="552"/>
      <c r="C1" s="785" t="str">
        <f>'Component Unit Template'!G1</f>
        <v/>
      </c>
      <c r="D1" s="785"/>
      <c r="E1" s="785"/>
    </row>
    <row r="2" spans="1:8" ht="14.25" customHeight="1">
      <c r="A2" s="836" t="s">
        <v>404</v>
      </c>
      <c r="B2" s="552"/>
      <c r="C2" s="785" t="str">
        <f>IF('Component Unit Template'!G2="","",'Component Unit Template'!G2)</f>
        <v/>
      </c>
      <c r="D2" s="785"/>
      <c r="E2" s="785"/>
    </row>
    <row r="3" spans="1:8" ht="11.25" customHeight="1">
      <c r="A3" s="836" t="s">
        <v>438</v>
      </c>
      <c r="B3" s="552"/>
      <c r="C3" s="760" t="str">
        <f>IF('Component Unit Template'!G3="","",'Component Unit Template'!G3)</f>
        <v/>
      </c>
      <c r="D3" s="760"/>
      <c r="E3" s="760"/>
    </row>
    <row r="4" spans="1:8" ht="11.25" customHeight="1">
      <c r="A4" s="836" t="s">
        <v>255</v>
      </c>
      <c r="B4" s="552"/>
      <c r="C4" s="762" t="str">
        <f>IF('Component Unit Template'!G4="","",'Component Unit Template'!G4)</f>
        <v/>
      </c>
      <c r="D4" s="762"/>
      <c r="E4" s="762"/>
    </row>
    <row r="5" spans="1:8" ht="11.25" customHeight="1">
      <c r="A5" s="836" t="s">
        <v>511</v>
      </c>
      <c r="B5" s="552"/>
      <c r="C5" s="764" t="str">
        <f>IF('Component Unit Template'!G5="","",'Component Unit Template'!G5)</f>
        <v/>
      </c>
      <c r="D5" s="764"/>
      <c r="E5" s="764"/>
    </row>
    <row r="6" spans="1:8" ht="11.25" customHeight="1">
      <c r="A6" s="836" t="s">
        <v>35</v>
      </c>
      <c r="B6" s="552"/>
      <c r="C6" s="766" t="str">
        <f>IF('Component Unit Template'!G6="","",'Component Unit Template'!G6)</f>
        <v/>
      </c>
      <c r="D6" s="766"/>
      <c r="E6" s="766"/>
    </row>
    <row r="7" spans="1:8">
      <c r="A7" s="22"/>
    </row>
    <row r="9" spans="1:8" ht="60" customHeight="1">
      <c r="A9" s="23" t="s">
        <v>386</v>
      </c>
      <c r="B9" s="23" t="s">
        <v>393</v>
      </c>
      <c r="C9" s="23" t="s">
        <v>387</v>
      </c>
      <c r="D9" s="23" t="s">
        <v>388</v>
      </c>
      <c r="E9" s="23" t="s">
        <v>389</v>
      </c>
      <c r="F9" s="23" t="s">
        <v>390</v>
      </c>
      <c r="H9" s="24"/>
    </row>
    <row r="10" spans="1:8">
      <c r="A10" s="247"/>
      <c r="B10" s="25"/>
      <c r="C10" s="5"/>
      <c r="D10" s="5"/>
      <c r="E10" s="162"/>
      <c r="F10" s="162"/>
    </row>
    <row r="11" spans="1:8">
      <c r="A11" s="247"/>
      <c r="B11" s="25"/>
      <c r="C11" s="5"/>
      <c r="D11" s="5"/>
      <c r="E11" s="162"/>
      <c r="F11" s="162"/>
    </row>
    <row r="12" spans="1:8">
      <c r="A12" s="247"/>
      <c r="B12" s="25"/>
      <c r="C12" s="5"/>
      <c r="D12" s="5"/>
      <c r="E12" s="162"/>
      <c r="F12" s="162"/>
    </row>
    <row r="13" spans="1:8">
      <c r="A13" s="247"/>
      <c r="B13" s="25"/>
      <c r="C13" s="5"/>
      <c r="D13" s="5"/>
      <c r="E13" s="162"/>
      <c r="F13" s="162"/>
    </row>
    <row r="14" spans="1:8">
      <c r="A14" s="247"/>
      <c r="B14" s="25"/>
      <c r="C14" s="5"/>
      <c r="D14" s="5"/>
      <c r="E14" s="162"/>
      <c r="F14" s="162"/>
    </row>
    <row r="15" spans="1:8">
      <c r="A15" s="247"/>
      <c r="B15" s="25"/>
      <c r="C15" s="5"/>
      <c r="D15" s="5"/>
      <c r="E15" s="162"/>
      <c r="F15" s="162"/>
    </row>
    <row r="16" spans="1:8">
      <c r="A16" s="247"/>
      <c r="B16" s="25"/>
      <c r="C16" s="5"/>
      <c r="D16" s="5"/>
      <c r="E16" s="162"/>
      <c r="F16" s="162"/>
    </row>
    <row r="17" spans="1:6">
      <c r="A17" s="247"/>
      <c r="B17" s="25"/>
      <c r="C17" s="5"/>
      <c r="D17" s="5"/>
      <c r="E17" s="162"/>
      <c r="F17" s="162"/>
    </row>
    <row r="18" spans="1:6">
      <c r="A18" s="247"/>
      <c r="B18" s="25"/>
      <c r="C18" s="5"/>
      <c r="D18" s="5"/>
      <c r="E18" s="162"/>
      <c r="F18" s="162"/>
    </row>
    <row r="19" spans="1:6">
      <c r="A19" s="247"/>
      <c r="B19" s="25"/>
      <c r="C19" s="5"/>
      <c r="D19" s="5"/>
      <c r="E19" s="162"/>
      <c r="F19" s="162"/>
    </row>
    <row r="20" spans="1:6">
      <c r="A20" s="247"/>
      <c r="B20" s="25"/>
      <c r="C20" s="5"/>
      <c r="D20" s="5"/>
      <c r="E20" s="162"/>
      <c r="F20" s="162"/>
    </row>
    <row r="21" spans="1:6">
      <c r="A21" s="247"/>
      <c r="B21" s="25"/>
      <c r="C21" s="5"/>
      <c r="D21" s="5"/>
      <c r="E21" s="162"/>
      <c r="F21" s="162"/>
    </row>
    <row r="22" spans="1:6">
      <c r="A22" s="247"/>
      <c r="B22" s="25"/>
      <c r="C22" s="5"/>
      <c r="D22" s="5"/>
      <c r="E22" s="162"/>
      <c r="F22" s="162"/>
    </row>
    <row r="23" spans="1:6">
      <c r="A23" s="247"/>
      <c r="B23" s="25"/>
      <c r="C23" s="5"/>
      <c r="D23" s="5"/>
      <c r="E23" s="162"/>
      <c r="F23" s="162"/>
    </row>
    <row r="24" spans="1:6">
      <c r="A24" s="247"/>
      <c r="B24" s="25"/>
      <c r="C24" s="5"/>
      <c r="D24" s="5"/>
      <c r="E24" s="162"/>
      <c r="F24" s="162"/>
    </row>
    <row r="25" spans="1:6">
      <c r="A25" s="247"/>
      <c r="B25" s="25"/>
      <c r="C25" s="5"/>
      <c r="D25" s="5"/>
      <c r="E25" s="162"/>
      <c r="F25" s="162"/>
    </row>
    <row r="26" spans="1:6">
      <c r="A26" s="247"/>
      <c r="B26" s="25"/>
      <c r="C26" s="5"/>
      <c r="D26" s="5"/>
      <c r="E26" s="162"/>
      <c r="F26" s="162"/>
    </row>
    <row r="27" spans="1:6">
      <c r="A27" s="247"/>
      <c r="B27" s="25"/>
      <c r="C27" s="5"/>
      <c r="D27" s="5"/>
      <c r="E27" s="162"/>
      <c r="F27" s="162"/>
    </row>
    <row r="28" spans="1:6">
      <c r="A28" s="247"/>
      <c r="B28" s="25"/>
      <c r="C28" s="5"/>
      <c r="D28" s="5"/>
      <c r="E28" s="162"/>
      <c r="F28" s="162"/>
    </row>
    <row r="29" spans="1:6">
      <c r="A29" s="247"/>
      <c r="B29" s="25"/>
      <c r="C29" s="5"/>
      <c r="D29" s="5"/>
      <c r="E29" s="162"/>
      <c r="F29" s="162"/>
    </row>
    <row r="30" spans="1:6">
      <c r="A30" s="247"/>
      <c r="B30" s="25"/>
      <c r="C30" s="5"/>
      <c r="D30" s="5"/>
      <c r="E30" s="162"/>
      <c r="F30" s="162"/>
    </row>
    <row r="31" spans="1:6">
      <c r="A31" s="247"/>
      <c r="B31" s="25"/>
      <c r="C31" s="5"/>
      <c r="D31" s="5"/>
      <c r="E31" s="162"/>
      <c r="F31" s="162"/>
    </row>
    <row r="32" spans="1:6">
      <c r="A32" s="247"/>
      <c r="B32" s="25"/>
      <c r="C32" s="5"/>
      <c r="D32" s="5"/>
      <c r="E32" s="162"/>
      <c r="F32" s="162"/>
    </row>
    <row r="33" spans="1:6">
      <c r="A33" s="247"/>
      <c r="B33" s="25"/>
      <c r="C33" s="5"/>
      <c r="D33" s="5"/>
      <c r="E33" s="162"/>
      <c r="F33" s="162"/>
    </row>
    <row r="34" spans="1:6">
      <c r="A34" s="247"/>
      <c r="B34" s="25"/>
      <c r="C34" s="5"/>
      <c r="D34" s="5"/>
      <c r="E34" s="162"/>
      <c r="F34" s="162"/>
    </row>
    <row r="35" spans="1:6">
      <c r="A35" s="247"/>
      <c r="B35" s="25"/>
      <c r="C35" s="5"/>
      <c r="D35" s="5"/>
      <c r="E35" s="162"/>
      <c r="F35" s="162"/>
    </row>
    <row r="36" spans="1:6">
      <c r="A36" s="247"/>
      <c r="B36" s="25"/>
      <c r="C36" s="5"/>
      <c r="D36" s="5"/>
      <c r="E36" s="162"/>
      <c r="F36" s="162"/>
    </row>
    <row r="37" spans="1:6">
      <c r="A37" s="247"/>
      <c r="B37" s="25"/>
      <c r="C37" s="5"/>
      <c r="D37" s="5"/>
      <c r="E37" s="162"/>
      <c r="F37" s="162"/>
    </row>
    <row r="38" spans="1:6">
      <c r="A38" s="247"/>
      <c r="B38" s="25"/>
      <c r="C38" s="5"/>
      <c r="D38" s="5"/>
      <c r="E38" s="162"/>
      <c r="F38" s="162"/>
    </row>
    <row r="39" spans="1:6">
      <c r="A39" s="247"/>
      <c r="B39" s="25"/>
      <c r="C39" s="5"/>
      <c r="D39" s="5"/>
      <c r="E39" s="162"/>
      <c r="F39" s="162"/>
    </row>
    <row r="40" spans="1:6">
      <c r="A40" s="247"/>
      <c r="B40" s="25"/>
      <c r="C40" s="5"/>
      <c r="D40" s="5"/>
      <c r="E40" s="162"/>
      <c r="F40" s="162"/>
    </row>
    <row r="41" spans="1:6">
      <c r="A41" s="247"/>
      <c r="B41" s="25"/>
      <c r="C41" s="5"/>
      <c r="D41" s="5"/>
      <c r="E41" s="162"/>
      <c r="F41" s="162"/>
    </row>
    <row r="42" spans="1:6">
      <c r="A42" s="247"/>
      <c r="B42" s="25"/>
      <c r="C42" s="5"/>
      <c r="D42" s="5"/>
      <c r="E42" s="162"/>
      <c r="F42" s="162"/>
    </row>
    <row r="43" spans="1:6">
      <c r="A43" s="247"/>
      <c r="B43" s="25"/>
      <c r="C43" s="5"/>
      <c r="D43" s="5"/>
      <c r="E43" s="162"/>
      <c r="F43" s="162"/>
    </row>
    <row r="44" spans="1:6">
      <c r="A44" s="247"/>
      <c r="B44" s="25"/>
      <c r="C44" s="5"/>
      <c r="D44" s="5"/>
      <c r="E44" s="162"/>
      <c r="F44" s="162"/>
    </row>
    <row r="45" spans="1:6">
      <c r="A45" s="247"/>
      <c r="B45" s="25"/>
      <c r="C45" s="5"/>
      <c r="D45" s="5"/>
      <c r="E45" s="162"/>
      <c r="F45" s="162"/>
    </row>
    <row r="46" spans="1:6">
      <c r="A46" s="247"/>
      <c r="B46" s="25"/>
      <c r="C46" s="5"/>
      <c r="D46" s="5"/>
      <c r="E46" s="162"/>
      <c r="F46" s="162"/>
    </row>
    <row r="47" spans="1:6">
      <c r="A47" s="247"/>
      <c r="B47" s="25"/>
      <c r="C47" s="5"/>
      <c r="D47" s="5"/>
      <c r="E47" s="162"/>
      <c r="F47" s="162"/>
    </row>
    <row r="48" spans="1:6">
      <c r="A48" s="247"/>
      <c r="B48" s="25"/>
      <c r="C48" s="5"/>
      <c r="D48" s="5"/>
      <c r="E48" s="162"/>
      <c r="F48" s="162"/>
    </row>
    <row r="49" spans="1:6">
      <c r="A49" s="247"/>
      <c r="B49" s="25"/>
      <c r="C49" s="5"/>
      <c r="D49" s="5"/>
      <c r="E49" s="162"/>
      <c r="F49" s="162"/>
    </row>
    <row r="50" spans="1:6">
      <c r="A50" s="247"/>
      <c r="B50" s="25"/>
      <c r="C50" s="5"/>
      <c r="D50" s="5"/>
      <c r="E50" s="162"/>
      <c r="F50" s="162"/>
    </row>
    <row r="51" spans="1:6">
      <c r="A51" s="247"/>
      <c r="B51" s="25"/>
      <c r="C51" s="5"/>
      <c r="D51" s="5"/>
      <c r="E51" s="162"/>
      <c r="F51" s="162"/>
    </row>
    <row r="52" spans="1:6">
      <c r="A52" s="247"/>
      <c r="B52" s="25"/>
      <c r="C52" s="5"/>
      <c r="D52" s="5"/>
      <c r="E52" s="162"/>
      <c r="F52" s="162"/>
    </row>
    <row r="53" spans="1:6">
      <c r="A53" s="247"/>
      <c r="B53" s="25"/>
      <c r="C53" s="5"/>
      <c r="D53" s="5"/>
      <c r="E53" s="162"/>
      <c r="F53" s="162"/>
    </row>
    <row r="54" spans="1:6">
      <c r="A54" s="247"/>
      <c r="B54" s="25"/>
      <c r="C54" s="5"/>
      <c r="D54" s="5"/>
      <c r="E54" s="162"/>
      <c r="F54" s="162"/>
    </row>
    <row r="55" spans="1:6">
      <c r="A55" s="247"/>
      <c r="B55" s="25"/>
      <c r="C55" s="5"/>
      <c r="D55" s="5"/>
      <c r="E55" s="162"/>
      <c r="F55" s="162"/>
    </row>
    <row r="56" spans="1:6">
      <c r="A56" s="247"/>
      <c r="B56" s="25"/>
      <c r="C56" s="5"/>
      <c r="D56" s="5"/>
      <c r="E56" s="162"/>
      <c r="F56" s="162"/>
    </row>
    <row r="57" spans="1:6">
      <c r="A57" s="247"/>
      <c r="B57" s="25"/>
      <c r="C57" s="5"/>
      <c r="D57" s="5"/>
      <c r="E57" s="162"/>
      <c r="F57" s="162"/>
    </row>
    <row r="58" spans="1:6">
      <c r="A58" s="247"/>
      <c r="B58" s="25"/>
      <c r="C58" s="5"/>
      <c r="D58" s="5"/>
      <c r="E58" s="162"/>
      <c r="F58" s="162"/>
    </row>
    <row r="59" spans="1:6">
      <c r="A59" s="247"/>
      <c r="B59" s="25"/>
      <c r="C59" s="5"/>
      <c r="D59" s="5"/>
      <c r="E59" s="162"/>
      <c r="F59" s="162"/>
    </row>
    <row r="60" spans="1:6">
      <c r="A60" s="247"/>
      <c r="B60" s="25"/>
      <c r="C60" s="5"/>
      <c r="D60" s="5"/>
      <c r="E60" s="162"/>
      <c r="F60" s="162"/>
    </row>
    <row r="61" spans="1:6">
      <c r="A61" s="247"/>
      <c r="B61" s="25"/>
      <c r="C61" s="5"/>
      <c r="D61" s="5"/>
      <c r="E61" s="162"/>
      <c r="F61" s="162"/>
    </row>
    <row r="63" spans="1:6" hidden="1">
      <c r="B63" s="21" t="s">
        <v>411</v>
      </c>
    </row>
    <row r="64" spans="1:6" hidden="1">
      <c r="B64" s="21" t="s">
        <v>690</v>
      </c>
    </row>
    <row r="65" spans="2:2" hidden="1">
      <c r="B65" s="21" t="s">
        <v>631</v>
      </c>
    </row>
    <row r="66" spans="2:2" hidden="1">
      <c r="B66" s="21" t="s">
        <v>412</v>
      </c>
    </row>
    <row r="67" spans="2:2" hidden="1">
      <c r="B67" s="21" t="s">
        <v>248</v>
      </c>
    </row>
    <row r="68" spans="2:2" hidden="1">
      <c r="B68" s="21" t="s">
        <v>249</v>
      </c>
    </row>
    <row r="69" spans="2:2" hidden="1">
      <c r="B69" s="21" t="s">
        <v>413</v>
      </c>
    </row>
    <row r="70" spans="2:2" hidden="1">
      <c r="B70" s="21" t="s">
        <v>376</v>
      </c>
    </row>
    <row r="71" spans="2:2" hidden="1">
      <c r="B71" s="21" t="s">
        <v>414</v>
      </c>
    </row>
    <row r="72" spans="2:2" hidden="1">
      <c r="B72" s="21" t="s">
        <v>415</v>
      </c>
    </row>
    <row r="73" spans="2:2" hidden="1">
      <c r="B73" s="21" t="s">
        <v>835</v>
      </c>
    </row>
    <row r="74" spans="2:2" hidden="1">
      <c r="B74" s="21" t="s">
        <v>592</v>
      </c>
    </row>
  </sheetData>
  <sheetProtection algorithmName="SHA-512" hashValue="3gHRM+eaqcXI+GpuQG63iOIq3qnipa3QPGDkagezG+oPZK/4ljrJ5YB6Fc9WnQEodoXj14ltT64K89pMYmp7WQ==" saltValue="pzfcoZVjUOfb+/EpufAOxg==" spinCount="100000" sheet="1" objects="1" scenarios="1"/>
  <customSheetViews>
    <customSheetView guid="{21549FED-0843-409C-B56D-2EB16B98EF5E}" showGridLines="0" hiddenRows="1">
      <selection activeCell="C6" sqref="C6:E6"/>
      <pageMargins left="0.5" right="0.5" top="1.25" bottom="1" header="0.5" footer="0.5"/>
      <pageSetup scale="85" orientation="portrait" cellComments="asDisplayed" r:id="rId1"/>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83B11BDE-9087-4120-8F71-87939A6C277C}" showGridLines="0" hiddenRows="1">
      <selection activeCell="J37" sqref="J37"/>
      <pageMargins left="0.5" right="0.5" top="1.25" bottom="1" header="0.5" footer="0.5"/>
      <pageSetup scale="85" orientation="portrait" cellComments="asDisplayed" r:id="rId2"/>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5A69DEB5-9E8B-40C6-849E-49B804F6ED86}" showGridLines="0" hiddenRows="1">
      <selection activeCell="J37" sqref="J37"/>
      <pageMargins left="0.5" right="0.5" top="1.25" bottom="1" header="0.5" footer="0.5"/>
      <pageSetup scale="85" orientation="portrait" cellComments="asDisplayed" r:id="rId3"/>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C3905544-E3E5-4318-8AA2-F7DE16A9B8E7}" showGridLines="0" hiddenRows="1">
      <selection activeCell="J37" sqref="J37"/>
      <pageMargins left="0.5" right="0.5" top="1.25" bottom="1" header="0.5" footer="0.5"/>
      <pageSetup scale="85" orientation="portrait" cellComments="asDisplayed" r:id="rId4"/>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s>
  <mergeCells count="12">
    <mergeCell ref="A5:B5"/>
    <mergeCell ref="A6:B6"/>
    <mergeCell ref="A1:B1"/>
    <mergeCell ref="A2:B2"/>
    <mergeCell ref="A3:B3"/>
    <mergeCell ref="A4:B4"/>
    <mergeCell ref="C5:E5"/>
    <mergeCell ref="C6:E6"/>
    <mergeCell ref="C1:E1"/>
    <mergeCell ref="C2:E2"/>
    <mergeCell ref="C3:E3"/>
    <mergeCell ref="C4:E4"/>
  </mergeCells>
  <phoneticPr fontId="26" type="noConversion"/>
  <dataValidations count="3">
    <dataValidation allowBlank="1" showInputMessage="1" showErrorMessage="1" errorTitle="Column Letter" error="Use drop down menu to enter A through E." sqref="D9" xr:uid="{00000000-0002-0000-0D00-000000000000}"/>
    <dataValidation allowBlank="1" showInputMessage="1" showErrorMessage="1" errorTitle="Column Letter" sqref="D10:D61" xr:uid="{00000000-0002-0000-0D00-000001000000}"/>
    <dataValidation type="list" allowBlank="1" showInputMessage="1" showErrorMessage="1" error="Use the drop-down list to enter a tab name." sqref="B10:B61" xr:uid="{00000000-0002-0000-0D00-000002000000}">
      <formula1>$B$63:$B$74</formula1>
    </dataValidation>
  </dataValidations>
  <pageMargins left="0.75" right="0.25" top="1.25" bottom="1" header="0.5" footer="0.5"/>
  <pageSetup scale="85" orientation="portrait" cellComments="asDisplayed" r:id="rId5"/>
  <headerFooter alignWithMargins="0">
    <oddHeader>&amp;C&amp;"Times New Roman,Bold"Attachment CU4 - FASB Foundations
Financial Statement Template (FST)
&amp;A</oddHeader>
    <oddFooter>&amp;L&amp;"Times New Roman,Regular"&amp;F \ &amp;A&amp;RPage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P320"/>
  <sheetViews>
    <sheetView showGridLines="0" topLeftCell="A8" zoomScaleNormal="100" zoomScaleSheetLayoutView="75" workbookViewId="0">
      <pane xSplit="10" ySplit="25" topLeftCell="K237" activePane="bottomRight" state="frozen"/>
      <selection activeCell="A8" sqref="A8"/>
      <selection pane="topRight" activeCell="K8" sqref="K8"/>
      <selection pane="bottomLeft" activeCell="A33" sqref="A33"/>
      <selection pane="bottomRight" activeCell="J319" sqref="J319"/>
    </sheetView>
  </sheetViews>
  <sheetFormatPr defaultRowHeight="12.75"/>
  <cols>
    <col min="1" max="4" width="2.28515625" style="27" customWidth="1"/>
    <col min="5" max="5" width="15.28515625" style="27" hidden="1" customWidth="1"/>
    <col min="6" max="6" width="14.28515625" style="27" hidden="1" customWidth="1"/>
    <col min="7" max="7" width="9.140625" style="27" hidden="1" customWidth="1"/>
    <col min="8" max="8" width="31.140625" style="27" customWidth="1"/>
    <col min="9" max="9" width="16" style="27" customWidth="1"/>
    <col min="10" max="10" width="33.42578125" style="27" customWidth="1"/>
    <col min="11" max="11" width="14.85546875" style="27" customWidth="1"/>
    <col min="12" max="12" width="3.7109375" style="27" customWidth="1"/>
    <col min="13" max="13" width="14.85546875" style="27" customWidth="1"/>
    <col min="14" max="14" width="3.7109375" style="27" customWidth="1"/>
    <col min="15" max="15" width="14.85546875" style="27" customWidth="1"/>
    <col min="16" max="16" width="3.7109375" style="27" customWidth="1"/>
    <col min="17" max="17" width="14.85546875" style="27" hidden="1" customWidth="1"/>
    <col min="18" max="18" width="3.7109375" style="27" hidden="1" customWidth="1"/>
    <col min="19" max="19" width="14.85546875" style="27" hidden="1" customWidth="1"/>
    <col min="20" max="20" width="3.7109375" style="27" hidden="1" customWidth="1"/>
    <col min="21" max="21" width="14.85546875" style="27" hidden="1" customWidth="1"/>
    <col min="22" max="22" width="3.7109375" style="27" hidden="1" customWidth="1"/>
    <col min="23" max="23" width="14.85546875" style="27" hidden="1" customWidth="1"/>
    <col min="24" max="24" width="3.7109375" style="27" hidden="1" customWidth="1"/>
    <col min="25" max="25" width="14.85546875" style="27" hidden="1" customWidth="1"/>
    <col min="26" max="26" width="3.7109375" style="27" hidden="1" customWidth="1"/>
    <col min="27" max="27" width="14.85546875" style="27" hidden="1" customWidth="1"/>
    <col min="28" max="28" width="3.7109375" style="27" hidden="1" customWidth="1"/>
    <col min="29" max="29" width="14.85546875" style="27" hidden="1" customWidth="1"/>
    <col min="30" max="30" width="3.7109375" style="27" hidden="1" customWidth="1"/>
    <col min="31" max="31" width="14.85546875" style="27" hidden="1" customWidth="1"/>
    <col min="32" max="32" width="3.7109375" style="27" hidden="1" customWidth="1"/>
    <col min="33" max="33" width="14.85546875" style="27" hidden="1" customWidth="1"/>
    <col min="34" max="34" width="3.7109375" style="27" hidden="1" customWidth="1"/>
    <col min="35" max="35" width="15.7109375" style="68" hidden="1" customWidth="1"/>
    <col min="36" max="36" width="3.7109375" style="27" hidden="1" customWidth="1"/>
    <col min="37" max="37" width="19.5703125" style="68" customWidth="1"/>
    <col min="38" max="38" width="3.7109375" style="27" customWidth="1"/>
    <col min="39" max="39" width="15.7109375" style="68" customWidth="1"/>
    <col min="40" max="40" width="14.42578125" style="489" bestFit="1" customWidth="1"/>
    <col min="41" max="41" width="17.7109375" style="489" customWidth="1"/>
    <col min="42" max="16384" width="9.140625" style="27"/>
  </cols>
  <sheetData>
    <row r="1" spans="1:39" hidden="1">
      <c r="B1" s="120"/>
      <c r="C1" s="120"/>
      <c r="D1" s="120"/>
      <c r="E1" s="127"/>
      <c r="S1" s="488"/>
      <c r="AI1" s="27"/>
      <c r="AK1" s="27"/>
      <c r="AM1" s="27"/>
    </row>
    <row r="2" spans="1:39" hidden="1">
      <c r="A2" s="107"/>
      <c r="E2" s="111"/>
      <c r="S2" s="488"/>
      <c r="AI2" s="27"/>
      <c r="AK2" s="27"/>
      <c r="AM2" s="27"/>
    </row>
    <row r="3" spans="1:39" hidden="1">
      <c r="A3" s="589"/>
      <c r="B3" s="589"/>
      <c r="C3" s="589"/>
      <c r="D3" s="589"/>
      <c r="E3" s="589"/>
      <c r="F3" s="589"/>
      <c r="S3" s="488"/>
      <c r="AI3" s="27"/>
      <c r="AK3" s="27"/>
      <c r="AM3" s="27"/>
    </row>
    <row r="4" spans="1:39" hidden="1">
      <c r="A4" s="589"/>
      <c r="B4" s="589"/>
      <c r="C4" s="589"/>
      <c r="D4" s="589"/>
      <c r="E4" s="589"/>
      <c r="F4" s="589"/>
      <c r="S4" s="488"/>
      <c r="AI4" s="27"/>
      <c r="AK4" s="27"/>
      <c r="AM4" s="27"/>
    </row>
    <row r="5" spans="1:39" hidden="1">
      <c r="A5" s="589"/>
      <c r="B5" s="589"/>
      <c r="C5" s="589"/>
      <c r="D5" s="589"/>
      <c r="E5" s="589"/>
      <c r="F5" s="589"/>
      <c r="S5" s="488"/>
      <c r="AI5" s="27"/>
      <c r="AK5" s="27"/>
      <c r="AM5" s="27"/>
    </row>
    <row r="6" spans="1:39" hidden="1">
      <c r="A6" s="589"/>
      <c r="B6" s="589"/>
      <c r="C6" s="589"/>
      <c r="D6" s="589"/>
      <c r="E6" s="589"/>
      <c r="F6" s="589"/>
      <c r="S6" s="488"/>
      <c r="AI6" s="27"/>
      <c r="AK6" s="27"/>
      <c r="AM6" s="27"/>
    </row>
    <row r="7" spans="1:39" hidden="1">
      <c r="A7" s="589"/>
      <c r="B7" s="589"/>
      <c r="C7" s="589"/>
      <c r="D7" s="589"/>
      <c r="E7" s="589"/>
      <c r="F7" s="589"/>
      <c r="S7" s="488"/>
      <c r="AI7" s="27"/>
      <c r="AK7" s="27"/>
      <c r="AM7" s="27"/>
    </row>
    <row r="8" spans="1:39">
      <c r="A8" s="589"/>
      <c r="B8" s="589"/>
      <c r="C8" s="589"/>
      <c r="D8" s="589"/>
      <c r="E8" s="589"/>
      <c r="F8" s="589"/>
      <c r="AI8" s="27"/>
      <c r="AK8" s="27"/>
      <c r="AM8" s="27"/>
    </row>
    <row r="9" spans="1:39">
      <c r="A9" s="49" t="s">
        <v>495</v>
      </c>
      <c r="B9" s="50"/>
      <c r="C9" s="50"/>
      <c r="D9" s="50"/>
      <c r="E9" s="357"/>
      <c r="F9" s="129"/>
      <c r="AI9" s="27"/>
      <c r="AK9" s="27"/>
      <c r="AM9" s="27"/>
    </row>
    <row r="10" spans="1:39">
      <c r="A10" s="26" t="s">
        <v>539</v>
      </c>
      <c r="B10" s="26"/>
      <c r="C10" s="26"/>
      <c r="D10" s="26"/>
      <c r="F10" s="130"/>
      <c r="AI10" s="27"/>
      <c r="AK10" s="27"/>
      <c r="AM10" s="27"/>
    </row>
    <row r="11" spans="1:39">
      <c r="A11" s="131" t="str">
        <f>'Component Unit Template'!A35</f>
        <v>For the Year Ended June 30, 2024</v>
      </c>
      <c r="B11" s="131"/>
      <c r="C11" s="131"/>
      <c r="D11" s="131"/>
      <c r="E11" s="117"/>
      <c r="F11" s="132"/>
      <c r="AI11" s="27"/>
      <c r="AK11" s="27"/>
      <c r="AM11" s="27"/>
    </row>
    <row r="12" spans="1:39" hidden="1">
      <c r="AI12" s="27"/>
      <c r="AK12" s="27"/>
      <c r="AM12" s="27"/>
    </row>
    <row r="13" spans="1:39" hidden="1">
      <c r="AI13" s="27"/>
      <c r="AK13" s="27"/>
      <c r="AM13" s="27"/>
    </row>
    <row r="14" spans="1:39" hidden="1">
      <c r="AI14" s="27"/>
      <c r="AK14" s="27"/>
      <c r="AM14" s="27"/>
    </row>
    <row r="15" spans="1:39" hidden="1">
      <c r="AI15" s="27"/>
      <c r="AK15" s="27"/>
      <c r="AM15" s="27"/>
    </row>
    <row r="16" spans="1:39" hidden="1">
      <c r="AI16" s="27"/>
      <c r="AK16" s="27"/>
      <c r="AM16" s="27"/>
    </row>
    <row r="17" spans="1:39" hidden="1"/>
    <row r="18" spans="1:39" hidden="1"/>
    <row r="19" spans="1:39" hidden="1"/>
    <row r="20" spans="1:39" hidden="1"/>
    <row r="21" spans="1:39" hidden="1"/>
    <row r="22" spans="1:39" hidden="1"/>
    <row r="23" spans="1:39" hidden="1"/>
    <row r="24" spans="1:39" hidden="1"/>
    <row r="25" spans="1:39" hidden="1"/>
    <row r="26" spans="1:39" hidden="1"/>
    <row r="27" spans="1:39" hidden="1"/>
    <row r="28" spans="1:39" hidden="1"/>
    <row r="29" spans="1:39" hidden="1"/>
    <row r="30" spans="1:39" hidden="1"/>
    <row r="31" spans="1:39" ht="15.75">
      <c r="A31" s="267"/>
      <c r="B31" s="490"/>
      <c r="C31" s="491"/>
      <c r="D31" s="267"/>
      <c r="E31" s="267"/>
      <c r="F31" s="267"/>
      <c r="G31" s="267"/>
      <c r="H31" s="490"/>
      <c r="I31" s="267"/>
      <c r="J31" s="267"/>
      <c r="K31" s="31" t="s">
        <v>936</v>
      </c>
      <c r="M31" s="31" t="s">
        <v>936</v>
      </c>
      <c r="O31" s="31" t="s">
        <v>936</v>
      </c>
      <c r="Q31" s="31"/>
      <c r="U31" s="31"/>
      <c r="X31" s="31"/>
      <c r="Y31" s="31"/>
      <c r="AA31" s="31"/>
      <c r="AC31" s="31"/>
      <c r="AE31" s="120"/>
      <c r="AG31" s="31"/>
      <c r="AI31" s="31"/>
      <c r="AK31" s="31" t="s">
        <v>936</v>
      </c>
    </row>
    <row r="32" spans="1:39" ht="44.25" customHeight="1">
      <c r="A32" s="49" t="s">
        <v>193</v>
      </c>
      <c r="B32" s="50"/>
      <c r="C32" s="50"/>
      <c r="D32" s="50"/>
      <c r="J32" s="121">
        <v>1</v>
      </c>
      <c r="K32" s="533" t="s">
        <v>52</v>
      </c>
      <c r="M32" s="533" t="s">
        <v>53</v>
      </c>
      <c r="O32" s="353" t="s">
        <v>33</v>
      </c>
      <c r="Q32" s="394" t="s">
        <v>628</v>
      </c>
      <c r="S32" s="354"/>
      <c r="U32" s="393" t="s">
        <v>54</v>
      </c>
      <c r="W32" s="355"/>
      <c r="Y32" s="295" t="s">
        <v>55</v>
      </c>
      <c r="AA32" s="295" t="s">
        <v>527</v>
      </c>
      <c r="AC32" s="393" t="s">
        <v>618</v>
      </c>
      <c r="AE32" s="352"/>
      <c r="AG32" s="295" t="s">
        <v>629</v>
      </c>
      <c r="AI32" s="295" t="s">
        <v>528</v>
      </c>
      <c r="AK32" s="395" t="s">
        <v>529</v>
      </c>
      <c r="AM32" s="250" t="s">
        <v>417</v>
      </c>
    </row>
    <row r="33" spans="1:39">
      <c r="A33" s="51"/>
      <c r="B33" s="50"/>
      <c r="C33" s="50"/>
      <c r="D33" s="50"/>
      <c r="J33" s="27">
        <v>2</v>
      </c>
      <c r="S33" s="488"/>
      <c r="W33" s="492"/>
    </row>
    <row r="34" spans="1:39">
      <c r="A34" s="50" t="s">
        <v>513</v>
      </c>
      <c r="B34" s="50"/>
      <c r="C34" s="50"/>
      <c r="D34" s="50"/>
      <c r="J34" s="121">
        <v>3</v>
      </c>
      <c r="K34" s="493">
        <v>0</v>
      </c>
      <c r="M34" s="493"/>
      <c r="O34" s="493">
        <v>0</v>
      </c>
      <c r="Q34" s="493"/>
      <c r="S34" s="494"/>
      <c r="U34" s="493"/>
      <c r="W34" s="495"/>
      <c r="Y34" s="493"/>
      <c r="AA34" s="493"/>
      <c r="AC34" s="493"/>
      <c r="AE34" s="493"/>
      <c r="AG34" s="493"/>
      <c r="AI34" s="493"/>
      <c r="AK34" s="493">
        <v>0</v>
      </c>
      <c r="AM34" s="493">
        <v>0</v>
      </c>
    </row>
    <row r="35" spans="1:39">
      <c r="A35" s="50" t="s">
        <v>514</v>
      </c>
      <c r="B35" s="50"/>
      <c r="C35" s="50"/>
      <c r="D35" s="50"/>
      <c r="J35" s="27">
        <v>4</v>
      </c>
      <c r="K35" s="493">
        <v>395141</v>
      </c>
      <c r="M35" s="493">
        <v>123456</v>
      </c>
      <c r="O35" s="493">
        <v>2250077</v>
      </c>
      <c r="Q35" s="493"/>
      <c r="S35" s="494"/>
      <c r="U35" s="496"/>
      <c r="W35" s="495"/>
      <c r="Y35" s="493"/>
      <c r="AA35" s="493"/>
      <c r="AC35" s="493"/>
      <c r="AE35" s="493"/>
      <c r="AG35" s="493"/>
      <c r="AI35" s="493"/>
      <c r="AK35" s="493">
        <v>8050217</v>
      </c>
      <c r="AM35" s="493">
        <v>0</v>
      </c>
    </row>
    <row r="36" spans="1:39">
      <c r="A36" s="50" t="s">
        <v>410</v>
      </c>
      <c r="B36" s="50"/>
      <c r="C36" s="50"/>
      <c r="D36" s="50"/>
      <c r="J36" s="121">
        <v>5</v>
      </c>
      <c r="K36" s="493">
        <v>0</v>
      </c>
      <c r="M36" s="493"/>
      <c r="O36" s="493">
        <v>0</v>
      </c>
      <c r="Q36" s="493"/>
      <c r="S36" s="494"/>
      <c r="U36" s="493"/>
      <c r="W36" s="495"/>
      <c r="Y36" s="493"/>
      <c r="AA36" s="493"/>
      <c r="AC36" s="493"/>
      <c r="AE36" s="493"/>
      <c r="AG36" s="493"/>
      <c r="AI36" s="493"/>
      <c r="AK36" s="493">
        <v>0</v>
      </c>
      <c r="AM36" s="493">
        <v>0</v>
      </c>
    </row>
    <row r="37" spans="1:39">
      <c r="A37" s="50" t="s">
        <v>515</v>
      </c>
      <c r="B37" s="50"/>
      <c r="C37" s="50"/>
      <c r="D37" s="50"/>
      <c r="J37" s="27">
        <v>6</v>
      </c>
      <c r="K37" s="493">
        <v>0</v>
      </c>
      <c r="M37" s="493"/>
      <c r="O37" s="493">
        <v>0</v>
      </c>
      <c r="Q37" s="493"/>
      <c r="S37" s="494"/>
      <c r="U37" s="493"/>
      <c r="W37" s="495"/>
      <c r="Y37" s="493"/>
      <c r="AA37" s="493"/>
      <c r="AC37" s="493"/>
      <c r="AE37" s="493"/>
      <c r="AG37" s="493"/>
      <c r="AI37" s="493"/>
      <c r="AK37" s="493">
        <v>0</v>
      </c>
      <c r="AM37" s="493">
        <v>0</v>
      </c>
    </row>
    <row r="38" spans="1:39">
      <c r="A38" s="50" t="s">
        <v>516</v>
      </c>
      <c r="B38" s="50"/>
      <c r="C38" s="50"/>
      <c r="D38" s="50"/>
      <c r="J38" s="121">
        <v>7</v>
      </c>
      <c r="K38" s="493">
        <v>0</v>
      </c>
      <c r="M38" s="493"/>
      <c r="O38" s="493">
        <v>0</v>
      </c>
      <c r="Q38" s="493"/>
      <c r="S38" s="494"/>
      <c r="U38" s="493"/>
      <c r="W38" s="495"/>
      <c r="Y38" s="493"/>
      <c r="AA38" s="493"/>
      <c r="AC38" s="493"/>
      <c r="AE38" s="493"/>
      <c r="AG38" s="493"/>
      <c r="AI38" s="493"/>
      <c r="AK38" s="493">
        <v>0</v>
      </c>
      <c r="AM38" s="493">
        <v>0</v>
      </c>
    </row>
    <row r="39" spans="1:39">
      <c r="A39" s="50" t="s">
        <v>517</v>
      </c>
      <c r="B39" s="50"/>
      <c r="C39" s="50"/>
      <c r="D39" s="50"/>
      <c r="J39" s="27">
        <v>8</v>
      </c>
      <c r="K39" s="493">
        <v>0</v>
      </c>
      <c r="M39" s="493"/>
      <c r="O39" s="493">
        <v>0</v>
      </c>
      <c r="Q39" s="493"/>
      <c r="S39" s="494"/>
      <c r="U39" s="493"/>
      <c r="W39" s="495"/>
      <c r="Y39" s="493"/>
      <c r="AA39" s="493"/>
      <c r="AC39" s="493"/>
      <c r="AE39" s="493"/>
      <c r="AG39" s="493"/>
      <c r="AI39" s="493"/>
      <c r="AK39" s="493">
        <v>0</v>
      </c>
      <c r="AM39" s="493">
        <v>0</v>
      </c>
    </row>
    <row r="40" spans="1:39">
      <c r="A40" s="50" t="s">
        <v>518</v>
      </c>
      <c r="B40" s="50"/>
      <c r="C40" s="50"/>
      <c r="D40" s="50"/>
      <c r="J40" s="121">
        <v>9</v>
      </c>
      <c r="K40" s="493">
        <v>0</v>
      </c>
      <c r="M40" s="493"/>
      <c r="O40" s="493">
        <v>0</v>
      </c>
      <c r="Q40" s="493"/>
      <c r="S40" s="494"/>
      <c r="U40" s="493"/>
      <c r="W40" s="495"/>
      <c r="Y40" s="493"/>
      <c r="AA40" s="493"/>
      <c r="AC40" s="493"/>
      <c r="AE40" s="493"/>
      <c r="AG40" s="493"/>
      <c r="AI40" s="493"/>
      <c r="AK40" s="493">
        <v>0</v>
      </c>
      <c r="AM40" s="493">
        <v>0</v>
      </c>
    </row>
    <row r="41" spans="1:39">
      <c r="A41" s="50" t="s">
        <v>519</v>
      </c>
      <c r="B41" s="50"/>
      <c r="C41" s="50"/>
      <c r="D41" s="50"/>
      <c r="J41" s="27">
        <v>10</v>
      </c>
      <c r="K41" s="493">
        <v>0</v>
      </c>
      <c r="M41" s="493">
        <v>0</v>
      </c>
      <c r="O41" s="493">
        <v>0</v>
      </c>
      <c r="Q41" s="493"/>
      <c r="S41" s="494"/>
      <c r="U41" s="493"/>
      <c r="W41" s="495"/>
      <c r="Y41" s="493"/>
      <c r="AA41" s="493"/>
      <c r="AC41" s="493"/>
      <c r="AE41" s="493"/>
      <c r="AG41" s="493"/>
      <c r="AI41" s="493"/>
      <c r="AK41" s="493">
        <v>1637299</v>
      </c>
      <c r="AM41" s="493">
        <v>0</v>
      </c>
    </row>
    <row r="42" spans="1:39">
      <c r="A42" s="50"/>
      <c r="B42" s="51" t="s">
        <v>488</v>
      </c>
      <c r="C42" s="50"/>
      <c r="D42" s="50"/>
      <c r="J42" s="121">
        <v>11</v>
      </c>
      <c r="K42" s="497">
        <f>SUM(K34:K41)</f>
        <v>395141</v>
      </c>
      <c r="M42" s="497">
        <f>SUM(M34:M41)</f>
        <v>123456</v>
      </c>
      <c r="O42" s="497">
        <f>SUM(O34:O41)</f>
        <v>2250077</v>
      </c>
      <c r="Q42" s="497"/>
      <c r="S42" s="498"/>
      <c r="U42" s="497"/>
      <c r="W42" s="499"/>
      <c r="Y42" s="497"/>
      <c r="AA42" s="497"/>
      <c r="AC42" s="497"/>
      <c r="AE42" s="497"/>
      <c r="AG42" s="497"/>
      <c r="AI42" s="497"/>
      <c r="AK42" s="497">
        <f>SUM(AK34:AK41)</f>
        <v>9687516</v>
      </c>
      <c r="AM42" s="497">
        <f>SUM(AM34:AM41)</f>
        <v>0</v>
      </c>
    </row>
    <row r="43" spans="1:39">
      <c r="A43" s="50"/>
      <c r="B43" s="50"/>
      <c r="C43" s="50"/>
      <c r="D43" s="50"/>
      <c r="J43" s="27">
        <v>12</v>
      </c>
      <c r="K43" s="68"/>
      <c r="M43" s="68"/>
      <c r="O43" s="68"/>
      <c r="Q43" s="68"/>
      <c r="S43" s="500"/>
      <c r="U43" s="68"/>
      <c r="W43" s="501"/>
      <c r="Y43" s="68"/>
      <c r="AA43" s="68"/>
      <c r="AC43" s="68"/>
      <c r="AE43" s="68"/>
      <c r="AG43" s="68"/>
    </row>
    <row r="44" spans="1:39" hidden="1">
      <c r="A44" s="51"/>
      <c r="B44" s="50"/>
      <c r="C44" s="50"/>
      <c r="D44" s="50"/>
      <c r="J44" s="121">
        <v>13</v>
      </c>
      <c r="K44" s="68"/>
      <c r="M44" s="68"/>
      <c r="O44" s="68"/>
      <c r="Q44" s="68"/>
      <c r="S44" s="500"/>
      <c r="U44" s="68"/>
      <c r="W44" s="501"/>
      <c r="Y44" s="68"/>
      <c r="AA44" s="68"/>
      <c r="AC44" s="68"/>
      <c r="AE44" s="68"/>
      <c r="AG44" s="68"/>
    </row>
    <row r="45" spans="1:39" hidden="1">
      <c r="A45" s="50" t="s">
        <v>520</v>
      </c>
      <c r="B45" s="50"/>
      <c r="C45" s="50"/>
      <c r="D45" s="50"/>
      <c r="J45" s="27">
        <v>14</v>
      </c>
      <c r="K45" s="493">
        <v>0</v>
      </c>
      <c r="M45" s="493"/>
      <c r="O45" s="493">
        <v>0</v>
      </c>
      <c r="Q45" s="493"/>
      <c r="S45" s="494"/>
      <c r="U45" s="493"/>
      <c r="W45" s="495"/>
      <c r="Y45" s="493"/>
      <c r="AA45" s="493"/>
      <c r="AC45" s="493"/>
      <c r="AE45" s="493"/>
      <c r="AG45" s="493"/>
      <c r="AI45" s="493"/>
      <c r="AK45" s="493"/>
      <c r="AM45" s="493">
        <v>0</v>
      </c>
    </row>
    <row r="46" spans="1:39">
      <c r="A46" s="50" t="s">
        <v>489</v>
      </c>
      <c r="B46" s="50"/>
      <c r="C46" s="50"/>
      <c r="D46" s="50"/>
      <c r="J46" s="121">
        <v>15</v>
      </c>
      <c r="K46" s="493">
        <v>0</v>
      </c>
      <c r="M46" s="493"/>
      <c r="O46" s="493">
        <v>0</v>
      </c>
      <c r="Q46" s="493"/>
      <c r="S46" s="494"/>
      <c r="U46" s="493"/>
      <c r="W46" s="495"/>
      <c r="Y46" s="493"/>
      <c r="AA46" s="493"/>
      <c r="AC46" s="493"/>
      <c r="AE46" s="493"/>
      <c r="AG46" s="493"/>
      <c r="AI46" s="493"/>
      <c r="AK46" s="493"/>
      <c r="AM46" s="493">
        <v>0</v>
      </c>
    </row>
    <row r="47" spans="1:39" hidden="1">
      <c r="A47" s="50" t="s">
        <v>521</v>
      </c>
      <c r="B47" s="50"/>
      <c r="C47" s="50"/>
      <c r="D47" s="50"/>
      <c r="J47" s="27">
        <v>16</v>
      </c>
      <c r="K47" s="493">
        <v>0</v>
      </c>
      <c r="M47" s="493"/>
      <c r="O47" s="493">
        <v>0</v>
      </c>
      <c r="Q47" s="493"/>
      <c r="S47" s="494"/>
      <c r="U47" s="493"/>
      <c r="W47" s="495"/>
      <c r="Y47" s="493"/>
      <c r="AA47" s="493"/>
      <c r="AC47" s="493"/>
      <c r="AE47" s="493"/>
      <c r="AG47" s="493"/>
      <c r="AI47" s="493"/>
      <c r="AK47" s="493"/>
      <c r="AM47" s="493">
        <v>0</v>
      </c>
    </row>
    <row r="48" spans="1:39">
      <c r="A48" s="50" t="s">
        <v>522</v>
      </c>
      <c r="B48" s="50"/>
      <c r="C48" s="50"/>
      <c r="D48" s="50"/>
      <c r="J48" s="121">
        <v>17</v>
      </c>
      <c r="K48" s="493">
        <v>0</v>
      </c>
      <c r="M48" s="493"/>
      <c r="O48" s="493">
        <v>0</v>
      </c>
      <c r="Q48" s="493"/>
      <c r="S48" s="494"/>
      <c r="U48" s="493"/>
      <c r="W48" s="495"/>
      <c r="Y48" s="493"/>
      <c r="AA48" s="493"/>
      <c r="AC48" s="493"/>
      <c r="AE48" s="493"/>
      <c r="AG48" s="493"/>
      <c r="AI48" s="493"/>
      <c r="AK48" s="493"/>
      <c r="AM48" s="493">
        <v>0</v>
      </c>
    </row>
    <row r="49" spans="1:39">
      <c r="A49" s="50" t="s">
        <v>523</v>
      </c>
      <c r="B49" s="50"/>
      <c r="C49" s="50"/>
      <c r="D49" s="50"/>
      <c r="J49" s="27">
        <v>18</v>
      </c>
      <c r="K49" s="493">
        <v>680489</v>
      </c>
      <c r="M49" s="496">
        <v>1517922</v>
      </c>
      <c r="O49" s="493">
        <v>1612482</v>
      </c>
      <c r="Q49" s="496"/>
      <c r="S49" s="494"/>
      <c r="U49" s="493"/>
      <c r="W49" s="495"/>
      <c r="Y49" s="493"/>
      <c r="AA49" s="493"/>
      <c r="AC49" s="493"/>
      <c r="AE49" s="493"/>
      <c r="AG49" s="493"/>
      <c r="AI49" s="493"/>
      <c r="AK49" s="493">
        <v>30653669</v>
      </c>
      <c r="AM49" s="493">
        <v>0</v>
      </c>
    </row>
    <row r="50" spans="1:39">
      <c r="A50" s="50"/>
      <c r="B50" s="51" t="s">
        <v>490</v>
      </c>
      <c r="C50" s="50"/>
      <c r="D50" s="50"/>
      <c r="J50" s="121">
        <v>19</v>
      </c>
      <c r="K50" s="497">
        <f>SUM(K45:K49)</f>
        <v>680489</v>
      </c>
      <c r="M50" s="497">
        <f>SUM(M45:M49)</f>
        <v>1517922</v>
      </c>
      <c r="O50" s="497">
        <f>SUM(O45:O49)</f>
        <v>1612482</v>
      </c>
      <c r="Q50" s="497"/>
      <c r="S50" s="498"/>
      <c r="U50" s="497"/>
      <c r="W50" s="499"/>
      <c r="Y50" s="497"/>
      <c r="AA50" s="497"/>
      <c r="AC50" s="497"/>
      <c r="AE50" s="497"/>
      <c r="AG50" s="497"/>
      <c r="AI50" s="497"/>
      <c r="AK50" s="497">
        <f>SUM(AK45:AK49)</f>
        <v>30653669</v>
      </c>
      <c r="AM50" s="497">
        <f>SUM(AM45:AM49)</f>
        <v>0</v>
      </c>
    </row>
    <row r="51" spans="1:39">
      <c r="A51" s="50"/>
      <c r="B51" s="50"/>
      <c r="C51" s="50"/>
      <c r="D51" s="50"/>
      <c r="J51" s="27">
        <v>20</v>
      </c>
      <c r="K51" s="68"/>
      <c r="M51" s="68"/>
      <c r="O51" s="68"/>
      <c r="Q51" s="68"/>
      <c r="S51" s="500"/>
      <c r="U51" s="68"/>
      <c r="W51" s="501"/>
      <c r="Y51" s="68"/>
      <c r="AA51" s="68"/>
      <c r="AC51" s="68"/>
      <c r="AE51" s="68"/>
      <c r="AG51" s="68"/>
    </row>
    <row r="52" spans="1:39">
      <c r="A52" s="50" t="s">
        <v>552</v>
      </c>
      <c r="B52" s="50"/>
      <c r="C52" s="50"/>
      <c r="D52" s="50"/>
      <c r="J52" s="121">
        <v>21</v>
      </c>
      <c r="K52" s="493"/>
      <c r="M52" s="493">
        <v>8399</v>
      </c>
      <c r="O52" s="493">
        <v>12911</v>
      </c>
      <c r="Q52" s="493"/>
      <c r="S52" s="494"/>
      <c r="U52" s="493"/>
      <c r="W52" s="495"/>
      <c r="Y52" s="493"/>
      <c r="AA52" s="496"/>
      <c r="AC52" s="496"/>
      <c r="AE52" s="493"/>
      <c r="AG52" s="493"/>
      <c r="AI52" s="493"/>
      <c r="AK52" s="493">
        <v>128700</v>
      </c>
      <c r="AM52" s="493">
        <v>0</v>
      </c>
    </row>
    <row r="53" spans="1:39">
      <c r="A53" s="50" t="s">
        <v>551</v>
      </c>
      <c r="B53" s="50"/>
      <c r="C53" s="50"/>
      <c r="D53" s="50"/>
      <c r="J53" s="27">
        <v>22</v>
      </c>
      <c r="K53" s="493"/>
      <c r="M53" s="493"/>
      <c r="O53" s="493"/>
      <c r="Q53" s="493"/>
      <c r="S53" s="494"/>
      <c r="U53" s="493"/>
      <c r="W53" s="495"/>
      <c r="Y53" s="493"/>
      <c r="AA53" s="496"/>
      <c r="AC53" s="493"/>
      <c r="AE53" s="493"/>
      <c r="AG53" s="493"/>
      <c r="AI53" s="493"/>
      <c r="AK53" s="493"/>
      <c r="AM53" s="493">
        <v>0</v>
      </c>
    </row>
    <row r="54" spans="1:39">
      <c r="A54" s="50" t="s">
        <v>200</v>
      </c>
      <c r="B54" s="50"/>
      <c r="C54" s="50"/>
      <c r="D54" s="50"/>
      <c r="J54" s="121">
        <v>23</v>
      </c>
      <c r="K54" s="493"/>
      <c r="M54" s="493"/>
      <c r="O54" s="493"/>
      <c r="Q54" s="493"/>
      <c r="S54" s="494"/>
      <c r="U54" s="493"/>
      <c r="W54" s="495"/>
      <c r="Y54" s="493"/>
      <c r="AA54" s="493"/>
      <c r="AC54" s="493"/>
      <c r="AE54" s="493"/>
      <c r="AG54" s="493"/>
      <c r="AI54" s="493"/>
      <c r="AK54" s="493">
        <v>727614</v>
      </c>
      <c r="AM54" s="493">
        <v>0</v>
      </c>
    </row>
    <row r="55" spans="1:39">
      <c r="A55" s="50" t="s">
        <v>524</v>
      </c>
      <c r="B55" s="50"/>
      <c r="C55" s="50"/>
      <c r="D55" s="50"/>
      <c r="J55" s="27">
        <v>24</v>
      </c>
      <c r="K55" s="493">
        <v>2614</v>
      </c>
      <c r="M55" s="493"/>
      <c r="O55" s="493"/>
      <c r="Q55" s="493"/>
      <c r="S55" s="494"/>
      <c r="U55" s="493"/>
      <c r="W55" s="495"/>
      <c r="Y55" s="493"/>
      <c r="AA55" s="493"/>
      <c r="AC55" s="493"/>
      <c r="AE55" s="493"/>
      <c r="AG55" s="493"/>
      <c r="AI55" s="493"/>
      <c r="AK55" s="493"/>
      <c r="AM55" s="493">
        <v>0</v>
      </c>
    </row>
    <row r="56" spans="1:39">
      <c r="A56" s="50" t="s">
        <v>201</v>
      </c>
      <c r="B56" s="50"/>
      <c r="C56" s="50"/>
      <c r="D56" s="50"/>
      <c r="J56" s="121">
        <v>25</v>
      </c>
      <c r="K56" s="493">
        <v>0</v>
      </c>
      <c r="M56" s="496"/>
      <c r="O56" s="493"/>
      <c r="Q56" s="493"/>
      <c r="S56" s="494"/>
      <c r="U56" s="496"/>
      <c r="W56" s="495"/>
      <c r="Y56" s="496"/>
      <c r="AA56" s="493"/>
      <c r="AC56" s="496"/>
      <c r="AE56" s="493"/>
      <c r="AG56" s="493"/>
      <c r="AI56" s="493"/>
      <c r="AK56" s="493">
        <v>4427817</v>
      </c>
      <c r="AM56" s="493">
        <v>0</v>
      </c>
    </row>
    <row r="57" spans="1:39">
      <c r="A57" s="50"/>
      <c r="B57" s="51" t="s">
        <v>382</v>
      </c>
      <c r="C57" s="50"/>
      <c r="D57" s="50"/>
      <c r="J57" s="27">
        <v>26</v>
      </c>
      <c r="K57" s="497">
        <f>SUM(K52:K56)</f>
        <v>2614</v>
      </c>
      <c r="M57" s="497">
        <f>SUM(M52:M56)</f>
        <v>8399</v>
      </c>
      <c r="O57" s="497">
        <f>SUM(O52:O56)</f>
        <v>12911</v>
      </c>
      <c r="Q57" s="497"/>
      <c r="S57" s="498"/>
      <c r="U57" s="497"/>
      <c r="W57" s="499"/>
      <c r="Y57" s="497"/>
      <c r="AA57" s="497"/>
      <c r="AC57" s="497"/>
      <c r="AE57" s="497"/>
      <c r="AG57" s="497"/>
      <c r="AI57" s="497"/>
      <c r="AK57" s="497">
        <f>SUM(AK52:AK56)</f>
        <v>5284131</v>
      </c>
      <c r="AM57" s="497">
        <f>SUM(AM52:AM56)</f>
        <v>0</v>
      </c>
    </row>
    <row r="58" spans="1:39">
      <c r="A58" s="50"/>
      <c r="B58" s="50"/>
      <c r="C58" s="50"/>
      <c r="D58" s="50"/>
      <c r="J58" s="121">
        <v>27</v>
      </c>
      <c r="K58" s="68"/>
      <c r="M58" s="68"/>
      <c r="O58" s="68"/>
      <c r="Q58" s="68"/>
      <c r="S58" s="500"/>
      <c r="U58" s="68"/>
      <c r="W58" s="501"/>
      <c r="Y58" s="68"/>
      <c r="AA58" s="68"/>
      <c r="AC58" s="68"/>
      <c r="AE58" s="68"/>
      <c r="AG58" s="68"/>
    </row>
    <row r="59" spans="1:39">
      <c r="A59" s="52" t="s">
        <v>439</v>
      </c>
      <c r="B59" s="50"/>
      <c r="C59" s="50"/>
      <c r="D59" s="50"/>
      <c r="J59" s="27">
        <v>28</v>
      </c>
      <c r="K59" s="493"/>
      <c r="M59" s="493">
        <v>733325</v>
      </c>
      <c r="O59" s="493">
        <v>594106</v>
      </c>
      <c r="Q59" s="493"/>
      <c r="S59" s="494"/>
      <c r="U59" s="493"/>
      <c r="W59" s="495"/>
      <c r="Y59" s="493"/>
      <c r="AA59" s="493"/>
      <c r="AC59" s="493"/>
      <c r="AE59" s="493"/>
      <c r="AG59" s="493"/>
      <c r="AI59" s="493"/>
      <c r="AK59" s="493">
        <v>5205845</v>
      </c>
      <c r="AM59" s="493">
        <v>0</v>
      </c>
    </row>
    <row r="60" spans="1:39">
      <c r="A60" s="50"/>
      <c r="B60" s="50"/>
      <c r="C60" s="50"/>
      <c r="D60" s="50"/>
      <c r="J60" s="121">
        <v>29</v>
      </c>
      <c r="K60" s="68"/>
      <c r="M60" s="68"/>
      <c r="O60" s="68"/>
      <c r="Q60" s="68"/>
      <c r="S60" s="500"/>
      <c r="U60" s="68"/>
      <c r="W60" s="501"/>
      <c r="Y60" s="68"/>
      <c r="AA60" s="68"/>
      <c r="AC60" s="68"/>
      <c r="AE60" s="68"/>
      <c r="AG60" s="68"/>
    </row>
    <row r="61" spans="1:39">
      <c r="A61" s="52" t="s">
        <v>468</v>
      </c>
      <c r="B61" s="50"/>
      <c r="C61" s="50"/>
      <c r="D61" s="50"/>
      <c r="J61" s="27">
        <v>30</v>
      </c>
      <c r="K61" s="493"/>
      <c r="M61" s="493"/>
      <c r="O61" s="493"/>
      <c r="Q61" s="493"/>
      <c r="S61" s="494"/>
      <c r="U61" s="493"/>
      <c r="W61" s="495"/>
      <c r="Y61" s="496"/>
      <c r="AA61" s="493"/>
      <c r="AC61" s="493"/>
      <c r="AE61" s="493"/>
      <c r="AG61" s="493"/>
      <c r="AI61" s="493"/>
      <c r="AK61" s="493"/>
      <c r="AM61" s="493">
        <v>0</v>
      </c>
    </row>
    <row r="62" spans="1:39">
      <c r="A62" s="50"/>
      <c r="B62" s="50"/>
      <c r="C62" s="50"/>
      <c r="D62" s="50"/>
      <c r="J62" s="121">
        <v>31</v>
      </c>
      <c r="K62" s="68"/>
      <c r="M62" s="68"/>
      <c r="O62" s="68"/>
      <c r="Q62" s="68"/>
      <c r="S62" s="500"/>
      <c r="U62" s="68"/>
      <c r="W62" s="501"/>
      <c r="Y62" s="68"/>
      <c r="AA62" s="68"/>
      <c r="AC62" s="68"/>
      <c r="AE62" s="68"/>
      <c r="AG62" s="68"/>
    </row>
    <row r="63" spans="1:39">
      <c r="A63" s="52" t="s">
        <v>467</v>
      </c>
      <c r="B63" s="50"/>
      <c r="C63" s="50"/>
      <c r="D63" s="50"/>
      <c r="J63" s="27">
        <v>32</v>
      </c>
      <c r="K63" s="493"/>
      <c r="M63" s="493"/>
      <c r="O63" s="493"/>
      <c r="Q63" s="493"/>
      <c r="S63" s="494"/>
      <c r="U63" s="496"/>
      <c r="W63" s="495"/>
      <c r="Y63" s="493"/>
      <c r="AA63" s="493"/>
      <c r="AC63" s="493"/>
      <c r="AE63" s="493"/>
      <c r="AG63" s="493"/>
      <c r="AI63" s="493"/>
      <c r="AK63" s="493"/>
      <c r="AM63" s="493">
        <v>0</v>
      </c>
    </row>
    <row r="64" spans="1:39">
      <c r="A64" s="50"/>
      <c r="B64" s="50"/>
      <c r="C64" s="50"/>
      <c r="D64" s="50"/>
      <c r="J64" s="121">
        <v>33</v>
      </c>
      <c r="K64" s="68"/>
      <c r="M64" s="68"/>
      <c r="O64" s="68"/>
      <c r="Q64" s="68"/>
      <c r="S64" s="500"/>
      <c r="U64" s="68"/>
      <c r="W64" s="501"/>
      <c r="Y64" s="68"/>
      <c r="AA64" s="68"/>
      <c r="AC64" s="68"/>
      <c r="AE64" s="68"/>
      <c r="AG64" s="68"/>
    </row>
    <row r="65" spans="1:39">
      <c r="A65" s="51" t="s">
        <v>189</v>
      </c>
      <c r="B65" s="50"/>
      <c r="C65" s="50"/>
      <c r="D65" s="50"/>
      <c r="J65" s="27">
        <v>34</v>
      </c>
      <c r="K65" s="493">
        <v>5610</v>
      </c>
      <c r="M65" s="493">
        <v>58004</v>
      </c>
      <c r="O65" s="493"/>
      <c r="Q65" s="493"/>
      <c r="S65" s="494"/>
      <c r="U65" s="493"/>
      <c r="W65" s="495"/>
      <c r="Y65" s="493"/>
      <c r="AA65" s="493"/>
      <c r="AC65" s="493"/>
      <c r="AE65" s="493"/>
      <c r="AG65" s="493"/>
      <c r="AI65" s="493"/>
      <c r="AK65" s="493"/>
      <c r="AM65" s="493">
        <v>0</v>
      </c>
    </row>
    <row r="66" spans="1:39">
      <c r="A66" s="50"/>
      <c r="B66" s="50"/>
      <c r="C66" s="50"/>
      <c r="D66" s="50"/>
      <c r="J66" s="121">
        <v>35</v>
      </c>
      <c r="K66" s="68"/>
      <c r="M66" s="68"/>
      <c r="O66" s="68"/>
      <c r="Q66" s="68"/>
      <c r="S66" s="500"/>
      <c r="U66" s="68"/>
      <c r="W66" s="501"/>
      <c r="Y66" s="68"/>
      <c r="AA66" s="68"/>
      <c r="AC66" s="68"/>
      <c r="AE66" s="68"/>
      <c r="AG66" s="68"/>
    </row>
    <row r="67" spans="1:39">
      <c r="A67" s="51" t="s">
        <v>190</v>
      </c>
      <c r="B67" s="50"/>
      <c r="C67" s="50"/>
      <c r="D67" s="50"/>
      <c r="J67" s="27">
        <v>36</v>
      </c>
      <c r="K67" s="493"/>
      <c r="M67" s="493">
        <v>10137</v>
      </c>
      <c r="O67" s="493">
        <v>17623</v>
      </c>
      <c r="Q67" s="493"/>
      <c r="S67" s="494"/>
      <c r="U67" s="496"/>
      <c r="W67" s="495"/>
      <c r="Y67" s="496"/>
      <c r="AA67" s="493"/>
      <c r="AC67" s="493"/>
      <c r="AE67" s="493"/>
      <c r="AG67" s="493"/>
      <c r="AI67" s="493"/>
      <c r="AK67" s="493">
        <v>30463</v>
      </c>
      <c r="AM67" s="493">
        <v>0</v>
      </c>
    </row>
    <row r="68" spans="1:39">
      <c r="A68" s="50"/>
      <c r="B68" s="50"/>
      <c r="C68" s="50"/>
      <c r="D68" s="50"/>
      <c r="J68" s="121">
        <v>37</v>
      </c>
      <c r="K68" s="68"/>
      <c r="M68" s="68"/>
      <c r="O68" s="68"/>
      <c r="Q68" s="68"/>
      <c r="S68" s="500"/>
      <c r="U68" s="68"/>
      <c r="W68" s="501"/>
      <c r="Y68" s="68"/>
      <c r="AA68" s="68"/>
      <c r="AC68" s="68"/>
      <c r="AE68" s="68"/>
      <c r="AG68" s="68"/>
    </row>
    <row r="69" spans="1:39" hidden="1">
      <c r="A69" s="51"/>
      <c r="B69" s="50"/>
      <c r="C69" s="50"/>
      <c r="D69" s="50"/>
      <c r="J69" s="27">
        <v>38</v>
      </c>
      <c r="K69" s="68"/>
      <c r="M69" s="68"/>
      <c r="O69" s="68"/>
      <c r="Q69" s="68"/>
      <c r="S69" s="500"/>
      <c r="U69" s="68"/>
      <c r="W69" s="501"/>
      <c r="Y69" s="68"/>
      <c r="AA69" s="68"/>
      <c r="AC69" s="68"/>
      <c r="AE69" s="68"/>
      <c r="AG69" s="68"/>
    </row>
    <row r="70" spans="1:39">
      <c r="A70" s="50" t="s">
        <v>94</v>
      </c>
      <c r="B70" s="50"/>
      <c r="C70" s="50"/>
      <c r="D70" s="50"/>
      <c r="J70" s="121">
        <v>39</v>
      </c>
      <c r="K70" s="493"/>
      <c r="M70" s="493"/>
      <c r="O70" s="493"/>
      <c r="Q70" s="493"/>
      <c r="S70" s="494"/>
      <c r="U70" s="493"/>
      <c r="W70" s="495"/>
      <c r="Y70" s="493"/>
      <c r="AA70" s="493"/>
      <c r="AC70" s="493"/>
      <c r="AE70" s="493"/>
      <c r="AG70" s="493"/>
      <c r="AI70" s="493"/>
      <c r="AK70" s="493"/>
      <c r="AM70" s="493">
        <v>0</v>
      </c>
    </row>
    <row r="71" spans="1:39">
      <c r="A71" s="50" t="s">
        <v>188</v>
      </c>
      <c r="B71" s="50"/>
      <c r="C71" s="50"/>
      <c r="D71" s="50"/>
      <c r="J71" s="27">
        <v>40</v>
      </c>
      <c r="K71" s="493"/>
      <c r="M71" s="493"/>
      <c r="O71" s="493"/>
      <c r="Q71" s="493"/>
      <c r="S71" s="494"/>
      <c r="U71" s="493"/>
      <c r="W71" s="495"/>
      <c r="Y71" s="493"/>
      <c r="AA71" s="493"/>
      <c r="AC71" s="493"/>
      <c r="AE71" s="493"/>
      <c r="AG71" s="493"/>
      <c r="AI71" s="493"/>
      <c r="AK71" s="493"/>
      <c r="AM71" s="493">
        <v>0</v>
      </c>
    </row>
    <row r="72" spans="1:39" hidden="1">
      <c r="A72" s="50" t="s">
        <v>95</v>
      </c>
      <c r="B72" s="50"/>
      <c r="C72" s="50"/>
      <c r="D72" s="50"/>
      <c r="J72" s="121">
        <v>41</v>
      </c>
      <c r="K72" s="493"/>
      <c r="M72" s="493"/>
      <c r="O72" s="493"/>
      <c r="Q72" s="493"/>
      <c r="S72" s="494"/>
      <c r="U72" s="493"/>
      <c r="W72" s="495"/>
      <c r="Y72" s="493"/>
      <c r="AA72" s="493"/>
      <c r="AC72" s="493"/>
      <c r="AE72" s="493"/>
      <c r="AG72" s="493"/>
      <c r="AI72" s="493"/>
      <c r="AK72" s="493"/>
      <c r="AM72" s="493">
        <v>0</v>
      </c>
    </row>
    <row r="73" spans="1:39">
      <c r="A73" s="50" t="s">
        <v>96</v>
      </c>
      <c r="B73" s="50"/>
      <c r="C73" s="50"/>
      <c r="D73" s="50"/>
      <c r="J73" s="27">
        <v>42</v>
      </c>
      <c r="K73" s="493"/>
      <c r="M73" s="493"/>
      <c r="O73" s="493"/>
      <c r="Q73" s="496"/>
      <c r="S73" s="494"/>
      <c r="U73" s="493"/>
      <c r="W73" s="495"/>
      <c r="Y73" s="502"/>
      <c r="AA73" s="493"/>
      <c r="AC73" s="493"/>
      <c r="AE73" s="493"/>
      <c r="AG73" s="493"/>
      <c r="AI73" s="493"/>
      <c r="AK73" s="493">
        <v>4263738</v>
      </c>
      <c r="AM73" s="493">
        <v>0</v>
      </c>
    </row>
    <row r="74" spans="1:39">
      <c r="A74" s="50"/>
      <c r="B74" s="51" t="s">
        <v>97</v>
      </c>
      <c r="C74" s="50"/>
      <c r="D74" s="50"/>
      <c r="J74" s="121">
        <v>43</v>
      </c>
      <c r="K74" s="497">
        <f>SUM(K70:K71,K73)</f>
        <v>0</v>
      </c>
      <c r="M74" s="497">
        <f>SUM(M70:M71,M73)</f>
        <v>0</v>
      </c>
      <c r="O74" s="497">
        <f>SUM(O70:O71,O73)</f>
        <v>0</v>
      </c>
      <c r="Q74" s="497"/>
      <c r="S74" s="498"/>
      <c r="U74" s="497"/>
      <c r="W74" s="499"/>
      <c r="Y74" s="497"/>
      <c r="AA74" s="497"/>
      <c r="AC74" s="497"/>
      <c r="AE74" s="497"/>
      <c r="AG74" s="497"/>
      <c r="AI74" s="497"/>
      <c r="AK74" s="497">
        <f>SUM(AK70:AK71,AK73)</f>
        <v>4263738</v>
      </c>
      <c r="AM74" s="497">
        <f>SUM(AM70:AM71,AM73)</f>
        <v>0</v>
      </c>
    </row>
    <row r="75" spans="1:39">
      <c r="A75" s="50"/>
      <c r="B75" s="50"/>
      <c r="C75" s="50"/>
      <c r="D75" s="50"/>
      <c r="J75" s="27">
        <v>44</v>
      </c>
      <c r="K75" s="68"/>
      <c r="M75" s="68"/>
      <c r="O75" s="68"/>
      <c r="Q75" s="68"/>
      <c r="S75" s="500"/>
      <c r="U75" s="68"/>
      <c r="W75" s="501"/>
      <c r="Y75" s="68"/>
      <c r="AA75" s="68"/>
      <c r="AC75" s="68"/>
      <c r="AE75" s="68"/>
      <c r="AG75" s="68"/>
    </row>
    <row r="76" spans="1:39" hidden="1">
      <c r="A76" s="50"/>
      <c r="B76" s="50"/>
      <c r="C76" s="50"/>
      <c r="D76" s="50"/>
      <c r="J76" s="121">
        <v>45</v>
      </c>
      <c r="K76" s="68"/>
      <c r="M76" s="68"/>
      <c r="O76" s="68"/>
      <c r="Q76" s="68"/>
      <c r="S76" s="500"/>
      <c r="U76" s="68"/>
      <c r="W76" s="501"/>
      <c r="Y76" s="68"/>
      <c r="AA76" s="68"/>
      <c r="AC76" s="68"/>
      <c r="AE76" s="68"/>
      <c r="AG76" s="68"/>
    </row>
    <row r="77" spans="1:39" hidden="1">
      <c r="A77" s="50"/>
      <c r="B77" s="50"/>
      <c r="C77" s="50"/>
      <c r="D77" s="50"/>
      <c r="J77" s="27">
        <v>46</v>
      </c>
      <c r="K77" s="68"/>
      <c r="M77" s="68"/>
      <c r="O77" s="68"/>
      <c r="Q77" s="68"/>
      <c r="S77" s="500"/>
      <c r="U77" s="68"/>
      <c r="W77" s="501"/>
      <c r="Y77" s="68"/>
      <c r="AA77" s="68"/>
      <c r="AC77" s="68"/>
      <c r="AE77" s="68"/>
      <c r="AG77" s="68"/>
    </row>
    <row r="78" spans="1:39" hidden="1">
      <c r="A78" s="50"/>
      <c r="B78" s="50"/>
      <c r="C78" s="50"/>
      <c r="D78" s="50"/>
      <c r="J78" s="121">
        <v>47</v>
      </c>
      <c r="K78" s="68"/>
      <c r="M78" s="68"/>
      <c r="O78" s="68"/>
      <c r="Q78" s="68"/>
      <c r="S78" s="500"/>
      <c r="U78" s="68"/>
      <c r="W78" s="501"/>
      <c r="Y78" s="68"/>
      <c r="AA78" s="68"/>
      <c r="AC78" s="68"/>
      <c r="AE78" s="68"/>
      <c r="AG78" s="68"/>
    </row>
    <row r="79" spans="1:39" hidden="1">
      <c r="A79" s="50"/>
      <c r="B79" s="50"/>
      <c r="C79" s="50"/>
      <c r="D79" s="50"/>
      <c r="J79" s="27">
        <v>48</v>
      </c>
      <c r="K79" s="68"/>
      <c r="M79" s="68"/>
      <c r="O79" s="68"/>
      <c r="Q79" s="68"/>
      <c r="S79" s="500"/>
      <c r="U79" s="68"/>
      <c r="W79" s="501"/>
      <c r="Y79" s="68"/>
      <c r="AA79" s="68"/>
      <c r="AC79" s="68"/>
      <c r="AE79" s="68"/>
      <c r="AG79" s="68"/>
    </row>
    <row r="80" spans="1:39" hidden="1">
      <c r="A80" s="50"/>
      <c r="B80" s="50"/>
      <c r="C80" s="50"/>
      <c r="D80" s="50"/>
      <c r="J80" s="121">
        <v>49</v>
      </c>
      <c r="K80" s="68"/>
      <c r="M80" s="68"/>
      <c r="O80" s="68"/>
      <c r="Q80" s="68"/>
      <c r="S80" s="500"/>
      <c r="U80" s="68"/>
      <c r="W80" s="501"/>
      <c r="Y80" s="68"/>
      <c r="AA80" s="68"/>
      <c r="AC80" s="68"/>
      <c r="AE80" s="68"/>
      <c r="AG80" s="68"/>
    </row>
    <row r="81" spans="1:39" hidden="1">
      <c r="A81" s="50"/>
      <c r="B81" s="50"/>
      <c r="C81" s="50"/>
      <c r="D81" s="50"/>
      <c r="J81" s="27">
        <v>50</v>
      </c>
      <c r="K81" s="68"/>
      <c r="M81" s="68"/>
      <c r="O81" s="68"/>
      <c r="Q81" s="68"/>
      <c r="S81" s="500"/>
      <c r="U81" s="68"/>
      <c r="W81" s="501"/>
      <c r="Y81" s="68"/>
      <c r="AA81" s="68"/>
      <c r="AC81" s="68"/>
      <c r="AE81" s="68"/>
      <c r="AG81" s="68"/>
    </row>
    <row r="82" spans="1:39">
      <c r="A82" s="50" t="s">
        <v>406</v>
      </c>
      <c r="B82" s="50"/>
      <c r="C82" s="50"/>
      <c r="D82" s="50"/>
      <c r="J82" s="121">
        <v>51</v>
      </c>
      <c r="K82" s="493"/>
      <c r="M82" s="493"/>
      <c r="O82" s="493"/>
      <c r="Q82" s="493"/>
      <c r="S82" s="494"/>
      <c r="U82" s="493"/>
      <c r="W82" s="495"/>
      <c r="Y82" s="493"/>
      <c r="AA82" s="493"/>
      <c r="AC82" s="493"/>
      <c r="AE82" s="493"/>
      <c r="AG82" s="493"/>
      <c r="AI82" s="493"/>
      <c r="AK82" s="493"/>
      <c r="AM82" s="493">
        <v>0</v>
      </c>
    </row>
    <row r="83" spans="1:39">
      <c r="A83" s="50" t="s">
        <v>177</v>
      </c>
      <c r="B83" s="50"/>
      <c r="C83" s="50"/>
      <c r="D83" s="50"/>
      <c r="J83" s="27">
        <v>52</v>
      </c>
      <c r="K83" s="493">
        <v>0</v>
      </c>
      <c r="M83" s="493">
        <v>0</v>
      </c>
      <c r="O83" s="493">
        <v>6216566</v>
      </c>
      <c r="Q83" s="493"/>
      <c r="S83" s="494"/>
      <c r="U83" s="493"/>
      <c r="W83" s="495"/>
      <c r="Y83" s="493"/>
      <c r="AA83" s="493"/>
      <c r="AC83" s="493"/>
      <c r="AE83" s="493"/>
      <c r="AG83" s="493"/>
      <c r="AI83" s="493"/>
      <c r="AK83" s="493"/>
      <c r="AM83" s="493">
        <v>0</v>
      </c>
    </row>
    <row r="84" spans="1:39">
      <c r="A84" s="50" t="s">
        <v>62</v>
      </c>
      <c r="B84" s="50"/>
      <c r="C84" s="50"/>
      <c r="D84" s="50"/>
      <c r="J84" s="121">
        <v>53</v>
      </c>
      <c r="K84" s="493"/>
      <c r="M84" s="493"/>
      <c r="O84" s="493"/>
      <c r="Q84" s="493"/>
      <c r="S84" s="494"/>
      <c r="U84" s="493"/>
      <c r="W84" s="495"/>
      <c r="Y84" s="493"/>
      <c r="AA84" s="493"/>
      <c r="AC84" s="493"/>
      <c r="AE84" s="493"/>
      <c r="AG84" s="493"/>
      <c r="AI84" s="493"/>
      <c r="AK84" s="493"/>
      <c r="AM84" s="493">
        <v>0</v>
      </c>
    </row>
    <row r="85" spans="1:39">
      <c r="A85" s="50" t="s">
        <v>152</v>
      </c>
      <c r="B85" s="50"/>
      <c r="C85" s="50"/>
      <c r="D85" s="50"/>
      <c r="J85" s="27">
        <v>54</v>
      </c>
      <c r="K85" s="493"/>
      <c r="M85" s="493"/>
      <c r="O85" s="493"/>
      <c r="Q85" s="493"/>
      <c r="S85" s="494"/>
      <c r="U85" s="493"/>
      <c r="W85" s="495"/>
      <c r="Y85" s="493"/>
      <c r="AA85" s="493"/>
      <c r="AC85" s="493"/>
      <c r="AE85" s="493"/>
      <c r="AG85" s="493"/>
      <c r="AI85" s="493"/>
      <c r="AK85" s="493"/>
      <c r="AM85" s="493">
        <v>0</v>
      </c>
    </row>
    <row r="86" spans="1:39">
      <c r="A86" s="50" t="s">
        <v>210</v>
      </c>
      <c r="B86" s="50"/>
      <c r="C86" s="50"/>
      <c r="D86" s="50"/>
      <c r="J86" s="121">
        <v>55</v>
      </c>
      <c r="K86" s="493"/>
      <c r="M86" s="493"/>
      <c r="O86" s="493"/>
      <c r="Q86" s="493"/>
      <c r="S86" s="494"/>
      <c r="U86" s="493"/>
      <c r="W86" s="495"/>
      <c r="Y86" s="493"/>
      <c r="AA86" s="493"/>
      <c r="AC86" s="493"/>
      <c r="AE86" s="493"/>
      <c r="AG86" s="493"/>
      <c r="AI86" s="493"/>
      <c r="AK86" s="493"/>
      <c r="AM86" s="493">
        <v>0</v>
      </c>
    </row>
    <row r="87" spans="1:39">
      <c r="A87" s="50" t="s">
        <v>211</v>
      </c>
      <c r="B87" s="50"/>
      <c r="C87" s="50"/>
      <c r="D87" s="50"/>
      <c r="J87" s="27">
        <v>56</v>
      </c>
      <c r="K87" s="493"/>
      <c r="M87" s="493"/>
      <c r="O87" s="493"/>
      <c r="Q87" s="493"/>
      <c r="S87" s="494"/>
      <c r="U87" s="493"/>
      <c r="W87" s="495"/>
      <c r="Y87" s="493"/>
      <c r="AA87" s="493"/>
      <c r="AC87" s="493"/>
      <c r="AE87" s="493"/>
      <c r="AG87" s="493"/>
      <c r="AI87" s="493"/>
      <c r="AK87" s="493"/>
      <c r="AM87" s="493">
        <v>0</v>
      </c>
    </row>
    <row r="88" spans="1:39">
      <c r="A88" s="50" t="s">
        <v>84</v>
      </c>
      <c r="B88" s="50"/>
      <c r="C88" s="50"/>
      <c r="D88" s="50"/>
      <c r="J88" s="121">
        <v>57</v>
      </c>
      <c r="K88" s="493"/>
      <c r="M88" s="493"/>
      <c r="O88" s="493"/>
      <c r="Q88" s="493"/>
      <c r="S88" s="494"/>
      <c r="U88" s="493"/>
      <c r="W88" s="495"/>
      <c r="Y88" s="493"/>
      <c r="AA88" s="493"/>
      <c r="AC88" s="493"/>
      <c r="AE88" s="493"/>
      <c r="AG88" s="493"/>
      <c r="AI88" s="493"/>
      <c r="AK88" s="493">
        <v>13247239</v>
      </c>
      <c r="AM88" s="493">
        <v>0</v>
      </c>
    </row>
    <row r="89" spans="1:39">
      <c r="A89" s="50"/>
      <c r="B89" s="51" t="s">
        <v>178</v>
      </c>
      <c r="C89" s="50"/>
      <c r="D89" s="50"/>
      <c r="J89" s="27">
        <v>58</v>
      </c>
      <c r="K89" s="497">
        <f>SUM(K82:K88)</f>
        <v>0</v>
      </c>
      <c r="M89" s="497">
        <f>SUM(M82:M88)</f>
        <v>0</v>
      </c>
      <c r="O89" s="497">
        <f>SUM(O82:O88)</f>
        <v>6216566</v>
      </c>
      <c r="Q89" s="497"/>
      <c r="S89" s="498"/>
      <c r="U89" s="497"/>
      <c r="W89" s="499"/>
      <c r="Y89" s="497"/>
      <c r="AA89" s="497"/>
      <c r="AC89" s="497"/>
      <c r="AE89" s="497"/>
      <c r="AG89" s="497"/>
      <c r="AI89" s="497"/>
      <c r="AK89" s="497">
        <f>SUM(AK82:AK88)</f>
        <v>13247239</v>
      </c>
      <c r="AM89" s="497">
        <f>SUM(AM82:AM88)</f>
        <v>0</v>
      </c>
    </row>
    <row r="90" spans="1:39">
      <c r="A90" s="50"/>
      <c r="B90" s="50"/>
      <c r="C90" s="50"/>
      <c r="D90" s="50"/>
      <c r="J90" s="121">
        <v>59</v>
      </c>
      <c r="K90" s="68"/>
      <c r="M90" s="68"/>
      <c r="O90" s="68"/>
      <c r="Q90" s="68"/>
      <c r="S90" s="500"/>
      <c r="U90" s="68"/>
      <c r="W90" s="501"/>
      <c r="Y90" s="68"/>
      <c r="AA90" s="68"/>
      <c r="AC90" s="68"/>
      <c r="AE90" s="68"/>
      <c r="AG90" s="68"/>
    </row>
    <row r="91" spans="1:39" hidden="1">
      <c r="A91" s="50"/>
      <c r="B91" s="50"/>
      <c r="C91" s="50"/>
      <c r="D91" s="50"/>
      <c r="J91" s="27">
        <v>60</v>
      </c>
      <c r="K91" s="68"/>
      <c r="M91" s="68"/>
      <c r="O91" s="68"/>
      <c r="Q91" s="68"/>
      <c r="S91" s="500"/>
      <c r="U91" s="68"/>
      <c r="W91" s="501"/>
      <c r="Y91" s="68"/>
      <c r="AA91" s="68"/>
      <c r="AC91" s="68"/>
      <c r="AE91" s="68"/>
      <c r="AG91" s="68"/>
    </row>
    <row r="92" spans="1:39">
      <c r="A92" s="50" t="s">
        <v>209</v>
      </c>
      <c r="B92" s="50"/>
      <c r="C92" s="50"/>
      <c r="D92" s="50"/>
      <c r="J92" s="121">
        <v>61</v>
      </c>
      <c r="K92" s="493"/>
      <c r="M92" s="493"/>
      <c r="O92" s="493"/>
      <c r="Q92" s="493"/>
      <c r="S92" s="494"/>
      <c r="U92" s="493"/>
      <c r="W92" s="495"/>
      <c r="Y92" s="493"/>
      <c r="AA92" s="493"/>
      <c r="AC92" s="493"/>
      <c r="AE92" s="493"/>
      <c r="AG92" s="493"/>
      <c r="AI92" s="493"/>
      <c r="AK92" s="493"/>
      <c r="AM92" s="493">
        <v>0</v>
      </c>
    </row>
    <row r="93" spans="1:39">
      <c r="A93" s="50" t="s">
        <v>63</v>
      </c>
      <c r="B93" s="50"/>
      <c r="C93" s="50"/>
      <c r="D93" s="50"/>
      <c r="J93" s="27">
        <v>62</v>
      </c>
      <c r="K93" s="493"/>
      <c r="M93" s="493"/>
      <c r="O93" s="493"/>
      <c r="Q93" s="493"/>
      <c r="S93" s="494"/>
      <c r="U93" s="493"/>
      <c r="W93" s="495"/>
      <c r="Y93" s="493"/>
      <c r="AA93" s="493"/>
      <c r="AC93" s="493"/>
      <c r="AE93" s="493"/>
      <c r="AG93" s="493"/>
      <c r="AI93" s="493"/>
      <c r="AK93" s="493"/>
      <c r="AM93" s="493">
        <v>0</v>
      </c>
    </row>
    <row r="94" spans="1:39">
      <c r="A94" s="50" t="s">
        <v>212</v>
      </c>
      <c r="B94" s="50"/>
      <c r="C94" s="50"/>
      <c r="D94" s="50"/>
      <c r="J94" s="121">
        <v>63</v>
      </c>
      <c r="K94" s="493"/>
      <c r="M94" s="493"/>
      <c r="O94" s="493"/>
      <c r="Q94" s="493"/>
      <c r="S94" s="494"/>
      <c r="U94" s="493"/>
      <c r="W94" s="495"/>
      <c r="Y94" s="493"/>
      <c r="AA94" s="493"/>
      <c r="AC94" s="493"/>
      <c r="AE94" s="493"/>
      <c r="AG94" s="493"/>
      <c r="AI94" s="493"/>
      <c r="AK94" s="493"/>
      <c r="AM94" s="493">
        <v>0</v>
      </c>
    </row>
    <row r="95" spans="1:39">
      <c r="A95" s="50" t="s">
        <v>213</v>
      </c>
      <c r="B95" s="50"/>
      <c r="C95" s="50"/>
      <c r="D95" s="50"/>
      <c r="J95" s="27">
        <v>64</v>
      </c>
      <c r="K95" s="493">
        <v>771326</v>
      </c>
      <c r="M95" s="493">
        <v>3410466</v>
      </c>
      <c r="O95" s="493">
        <v>21479886</v>
      </c>
      <c r="Q95" s="493"/>
      <c r="S95" s="494"/>
      <c r="U95" s="493"/>
      <c r="W95" s="495"/>
      <c r="Y95" s="493"/>
      <c r="AA95" s="493"/>
      <c r="AC95" s="493"/>
      <c r="AE95" s="493"/>
      <c r="AG95" s="493"/>
      <c r="AI95" s="493"/>
      <c r="AK95" s="493">
        <v>248016053</v>
      </c>
      <c r="AM95" s="493">
        <v>0</v>
      </c>
    </row>
    <row r="96" spans="1:39">
      <c r="A96" s="50"/>
      <c r="B96" s="51" t="s">
        <v>179</v>
      </c>
      <c r="C96" s="50"/>
      <c r="D96" s="50"/>
      <c r="J96" s="121">
        <v>65</v>
      </c>
      <c r="K96" s="497">
        <f>SUM(K92:K95)</f>
        <v>771326</v>
      </c>
      <c r="M96" s="497">
        <f>SUM(M92:M95)</f>
        <v>3410466</v>
      </c>
      <c r="O96" s="497">
        <f>SUM(O92:O95)</f>
        <v>21479886</v>
      </c>
      <c r="Q96" s="497"/>
      <c r="S96" s="498"/>
      <c r="U96" s="497"/>
      <c r="W96" s="499"/>
      <c r="Y96" s="497"/>
      <c r="AA96" s="497"/>
      <c r="AC96" s="497"/>
      <c r="AE96" s="497"/>
      <c r="AG96" s="497"/>
      <c r="AI96" s="497"/>
      <c r="AK96" s="497">
        <f>SUM(AK92:AK95)</f>
        <v>248016053</v>
      </c>
      <c r="AM96" s="497">
        <f>SUM(AM92:AM95)</f>
        <v>0</v>
      </c>
    </row>
    <row r="97" spans="1:39">
      <c r="A97" s="50"/>
      <c r="B97" s="50"/>
      <c r="C97" s="50"/>
      <c r="D97" s="50"/>
      <c r="J97" s="27">
        <v>66</v>
      </c>
      <c r="K97" s="68"/>
      <c r="M97" s="68"/>
      <c r="O97" s="68"/>
      <c r="Q97" s="68"/>
      <c r="S97" s="500"/>
      <c r="U97" s="68"/>
      <c r="W97" s="501"/>
      <c r="Y97" s="68"/>
      <c r="AA97" s="68"/>
      <c r="AC97" s="68"/>
      <c r="AE97" s="68"/>
      <c r="AG97" s="68"/>
    </row>
    <row r="98" spans="1:39" hidden="1">
      <c r="A98" s="50"/>
      <c r="B98" s="50"/>
      <c r="C98" s="50"/>
      <c r="D98" s="50"/>
      <c r="J98" s="121">
        <v>67</v>
      </c>
      <c r="K98" s="68"/>
      <c r="M98" s="68"/>
      <c r="O98" s="68"/>
      <c r="Q98" s="68"/>
      <c r="S98" s="500"/>
      <c r="U98" s="68"/>
      <c r="W98" s="501"/>
      <c r="Y98" s="68"/>
      <c r="AA98" s="68"/>
      <c r="AC98" s="68"/>
      <c r="AE98" s="68"/>
      <c r="AG98" s="68"/>
    </row>
    <row r="99" spans="1:39">
      <c r="A99" s="50" t="s">
        <v>180</v>
      </c>
      <c r="B99" s="50"/>
      <c r="C99" s="50"/>
      <c r="D99" s="50"/>
      <c r="J99" s="27">
        <v>68</v>
      </c>
      <c r="K99" s="493">
        <v>0</v>
      </c>
      <c r="M99" s="493">
        <v>0</v>
      </c>
      <c r="O99" s="493">
        <v>0</v>
      </c>
      <c r="Q99" s="493"/>
      <c r="S99" s="494"/>
      <c r="U99" s="493"/>
      <c r="W99" s="495"/>
      <c r="Y99" s="493"/>
      <c r="AA99" s="493"/>
      <c r="AC99" s="493"/>
      <c r="AE99" s="493"/>
      <c r="AG99" s="493"/>
      <c r="AI99" s="493"/>
      <c r="AK99" s="493">
        <v>0</v>
      </c>
      <c r="AM99" s="493">
        <v>0</v>
      </c>
    </row>
    <row r="100" spans="1:39">
      <c r="A100" s="50" t="s">
        <v>191</v>
      </c>
      <c r="B100" s="50"/>
      <c r="C100" s="50"/>
      <c r="D100" s="50"/>
      <c r="J100" s="121">
        <v>69</v>
      </c>
      <c r="K100" s="493">
        <v>0</v>
      </c>
      <c r="M100" s="493">
        <v>0</v>
      </c>
      <c r="O100" s="493">
        <v>0</v>
      </c>
      <c r="Q100" s="493"/>
      <c r="S100" s="494"/>
      <c r="U100" s="493"/>
      <c r="W100" s="495"/>
      <c r="Y100" s="493"/>
      <c r="AA100" s="493"/>
      <c r="AC100" s="493"/>
      <c r="AE100" s="493"/>
      <c r="AG100" s="493"/>
      <c r="AI100" s="493"/>
      <c r="AK100" s="493">
        <v>0</v>
      </c>
      <c r="AM100" s="493">
        <v>0</v>
      </c>
    </row>
    <row r="101" spans="1:39">
      <c r="A101" s="50" t="s">
        <v>181</v>
      </c>
      <c r="B101" s="50"/>
      <c r="C101" s="50"/>
      <c r="D101" s="50"/>
      <c r="J101" s="27">
        <v>70</v>
      </c>
      <c r="K101" s="493">
        <v>0</v>
      </c>
      <c r="M101" s="493">
        <v>0</v>
      </c>
      <c r="O101" s="493">
        <v>0</v>
      </c>
      <c r="Q101" s="493"/>
      <c r="S101" s="494"/>
      <c r="U101" s="493"/>
      <c r="W101" s="495"/>
      <c r="Y101" s="493"/>
      <c r="AA101" s="493"/>
      <c r="AC101" s="493"/>
      <c r="AE101" s="493"/>
      <c r="AG101" s="493"/>
      <c r="AI101" s="493"/>
      <c r="AK101" s="493">
        <v>0</v>
      </c>
      <c r="AM101" s="493">
        <v>0</v>
      </c>
    </row>
    <row r="102" spans="1:39">
      <c r="A102" s="50" t="s">
        <v>182</v>
      </c>
      <c r="B102" s="50"/>
      <c r="C102" s="50"/>
      <c r="D102" s="50"/>
      <c r="J102" s="121">
        <v>71</v>
      </c>
      <c r="K102" s="493">
        <v>0</v>
      </c>
      <c r="M102" s="493">
        <v>0</v>
      </c>
      <c r="O102" s="493">
        <v>0</v>
      </c>
      <c r="Q102" s="493"/>
      <c r="S102" s="494"/>
      <c r="U102" s="493"/>
      <c r="W102" s="495"/>
      <c r="Y102" s="493"/>
      <c r="AA102" s="493"/>
      <c r="AC102" s="493"/>
      <c r="AE102" s="493"/>
      <c r="AG102" s="493"/>
      <c r="AI102" s="496"/>
      <c r="AK102" s="493">
        <v>0</v>
      </c>
      <c r="AM102" s="493">
        <v>0</v>
      </c>
    </row>
    <row r="103" spans="1:39">
      <c r="A103" s="50"/>
      <c r="B103" s="51" t="s">
        <v>183</v>
      </c>
      <c r="C103" s="50"/>
      <c r="D103" s="50"/>
      <c r="J103" s="27">
        <v>72</v>
      </c>
      <c r="K103" s="497">
        <f>SUM(K99:K102)</f>
        <v>0</v>
      </c>
      <c r="M103" s="497">
        <f>SUM(M99:M102)</f>
        <v>0</v>
      </c>
      <c r="O103" s="497">
        <f>SUM(O99:O102)</f>
        <v>0</v>
      </c>
      <c r="Q103" s="497"/>
      <c r="S103" s="498"/>
      <c r="U103" s="497"/>
      <c r="W103" s="499"/>
      <c r="Y103" s="497"/>
      <c r="AA103" s="497"/>
      <c r="AC103" s="497"/>
      <c r="AE103" s="497"/>
      <c r="AG103" s="497"/>
      <c r="AI103" s="497"/>
      <c r="AK103" s="497">
        <f>SUM(AK99:AK102)</f>
        <v>0</v>
      </c>
      <c r="AM103" s="497">
        <f>SUM(AM99:AM102)</f>
        <v>0</v>
      </c>
    </row>
    <row r="104" spans="1:39">
      <c r="A104" s="50"/>
      <c r="B104" s="50"/>
      <c r="C104" s="50"/>
      <c r="D104" s="50"/>
      <c r="J104" s="121">
        <v>73</v>
      </c>
      <c r="K104" s="68"/>
      <c r="M104" s="68"/>
      <c r="O104" s="68"/>
      <c r="Q104" s="68"/>
      <c r="S104" s="500"/>
      <c r="U104" s="68"/>
      <c r="W104" s="501"/>
      <c r="Y104" s="68"/>
      <c r="AA104" s="68"/>
      <c r="AC104" s="68"/>
      <c r="AE104" s="68"/>
      <c r="AG104" s="68"/>
    </row>
    <row r="105" spans="1:39">
      <c r="A105" s="51" t="s">
        <v>919</v>
      </c>
      <c r="B105" s="50"/>
      <c r="C105" s="50"/>
      <c r="D105" s="50"/>
      <c r="J105" s="27">
        <v>74</v>
      </c>
      <c r="K105" s="493"/>
      <c r="M105" s="493"/>
      <c r="O105" s="493"/>
      <c r="Q105" s="493"/>
      <c r="S105" s="494"/>
      <c r="U105" s="493"/>
      <c r="W105" s="495"/>
      <c r="Y105" s="264"/>
      <c r="AA105" s="493"/>
      <c r="AC105" s="493"/>
      <c r="AE105" s="493"/>
      <c r="AG105" s="493"/>
      <c r="AI105" s="493"/>
      <c r="AK105" s="493"/>
      <c r="AM105" s="493">
        <v>0</v>
      </c>
    </row>
    <row r="106" spans="1:39">
      <c r="A106" s="50"/>
      <c r="B106" s="50"/>
      <c r="C106" s="50"/>
      <c r="D106" s="50"/>
      <c r="J106" s="121">
        <v>75</v>
      </c>
      <c r="K106" s="68"/>
      <c r="M106" s="68"/>
      <c r="O106" s="68"/>
      <c r="Q106" s="68"/>
      <c r="S106" s="500"/>
      <c r="U106" s="68"/>
      <c r="W106" s="501"/>
      <c r="Y106" s="68"/>
      <c r="AA106" s="68"/>
      <c r="AC106" s="68"/>
      <c r="AE106" s="68"/>
      <c r="AG106" s="68"/>
    </row>
    <row r="107" spans="1:39">
      <c r="A107" s="51" t="s">
        <v>184</v>
      </c>
      <c r="B107" s="50"/>
      <c r="C107" s="50"/>
      <c r="D107" s="50"/>
      <c r="J107" s="27">
        <v>76</v>
      </c>
      <c r="K107" s="493"/>
      <c r="M107" s="493"/>
      <c r="O107" s="493"/>
      <c r="Q107" s="493"/>
      <c r="S107" s="494"/>
      <c r="U107" s="493"/>
      <c r="W107" s="495"/>
      <c r="Y107" s="264"/>
      <c r="AA107" s="493"/>
      <c r="AC107" s="493"/>
      <c r="AE107" s="493"/>
      <c r="AG107" s="493"/>
      <c r="AI107" s="493"/>
      <c r="AK107" s="493">
        <v>1384765</v>
      </c>
      <c r="AM107" s="493">
        <v>0</v>
      </c>
    </row>
    <row r="108" spans="1:39">
      <c r="A108" s="50"/>
      <c r="B108" s="50"/>
      <c r="C108" s="50"/>
      <c r="D108" s="50"/>
      <c r="J108" s="121">
        <v>77</v>
      </c>
      <c r="K108" s="68"/>
      <c r="M108" s="68"/>
      <c r="O108" s="68"/>
      <c r="Q108" s="68"/>
      <c r="S108" s="500"/>
      <c r="U108" s="68"/>
      <c r="W108" s="501"/>
      <c r="Y108" s="68"/>
      <c r="AA108" s="68"/>
      <c r="AC108" s="68"/>
      <c r="AE108" s="68"/>
      <c r="AG108" s="68"/>
    </row>
    <row r="109" spans="1:39">
      <c r="A109" s="51" t="s">
        <v>849</v>
      </c>
      <c r="B109" s="50"/>
      <c r="C109" s="50"/>
      <c r="D109" s="50"/>
      <c r="J109" s="27">
        <v>78</v>
      </c>
      <c r="K109" s="493">
        <v>84197</v>
      </c>
      <c r="M109" s="496">
        <v>31571</v>
      </c>
      <c r="O109" s="493">
        <v>4481</v>
      </c>
      <c r="Q109" s="493"/>
      <c r="S109" s="494"/>
      <c r="U109" s="493"/>
      <c r="W109" s="495"/>
      <c r="Y109" s="493"/>
      <c r="AA109" s="493"/>
      <c r="AC109" s="493"/>
      <c r="AE109" s="493"/>
      <c r="AG109" s="493"/>
      <c r="AI109" s="493"/>
      <c r="AK109" s="493">
        <v>3098916</v>
      </c>
      <c r="AM109" s="493">
        <v>0</v>
      </c>
    </row>
    <row r="110" spans="1:39">
      <c r="A110" s="50"/>
      <c r="B110" s="50"/>
      <c r="C110" s="50"/>
      <c r="D110" s="50"/>
      <c r="J110" s="121">
        <v>79</v>
      </c>
      <c r="K110" s="68"/>
      <c r="M110" s="68"/>
      <c r="O110" s="68"/>
      <c r="Q110" s="68"/>
      <c r="S110" s="500"/>
      <c r="U110" s="68"/>
      <c r="W110" s="501"/>
      <c r="Y110" s="68"/>
      <c r="AA110" s="68"/>
      <c r="AC110" s="68"/>
      <c r="AE110" s="68"/>
      <c r="AG110" s="68"/>
    </row>
    <row r="111" spans="1:39">
      <c r="A111" s="49" t="s">
        <v>192</v>
      </c>
      <c r="B111" s="50"/>
      <c r="C111" s="50"/>
      <c r="D111" s="50"/>
      <c r="J111" s="27">
        <v>80</v>
      </c>
      <c r="K111" s="497">
        <f>SUM(K109,K107,K105,K103,K96,K89,K74,K67,K65,K63,K61,K59,K57,K50,K42)</f>
        <v>1939377</v>
      </c>
      <c r="M111" s="497">
        <f>SUM(M109,M107,M105,M103,M96,M89,M74,M67,M65,M63,M61,M59,M57,M50,M42)</f>
        <v>5893280</v>
      </c>
      <c r="O111" s="497">
        <f>SUM(O109,O107,O105,O103,O96,O89,O74,O67,O65,O63,O61,O59,O57,O50,O42)</f>
        <v>32188132</v>
      </c>
      <c r="Q111" s="497"/>
      <c r="S111" s="498"/>
      <c r="U111" s="497"/>
      <c r="W111" s="499"/>
      <c r="Y111" s="497"/>
      <c r="AA111" s="497"/>
      <c r="AC111" s="497"/>
      <c r="AE111" s="497"/>
      <c r="AG111" s="497"/>
      <c r="AI111" s="497"/>
      <c r="AK111" s="497">
        <f>SUM(AK109,AK107,AK105,AK103,AK96,AK89,AK74,AK67,AK65,AK63,AK61,AK59,AK57,AK50,AK42)</f>
        <v>320872335</v>
      </c>
      <c r="AM111" s="497">
        <f>SUM(AM109,AM107,AM105,AM103,AM96,AM89,AM74,AM67,AM65,AM63,AM61,AM59,AM57,AM50,AM42)</f>
        <v>0</v>
      </c>
    </row>
    <row r="112" spans="1:39">
      <c r="A112" s="50"/>
      <c r="B112" s="50"/>
      <c r="C112" s="50"/>
      <c r="D112" s="50"/>
      <c r="J112" s="121">
        <v>81</v>
      </c>
      <c r="K112" s="68"/>
      <c r="M112" s="68"/>
      <c r="O112" s="68"/>
      <c r="Q112" s="68"/>
      <c r="S112" s="500"/>
      <c r="U112" s="68"/>
      <c r="W112" s="501"/>
      <c r="Y112" s="68"/>
      <c r="AA112" s="68"/>
      <c r="AC112" s="68"/>
      <c r="AE112" s="68"/>
      <c r="AG112" s="68"/>
    </row>
    <row r="113" spans="1:39">
      <c r="A113" s="49" t="s">
        <v>540</v>
      </c>
      <c r="B113" s="50"/>
      <c r="C113" s="50"/>
      <c r="D113" s="50"/>
      <c r="E113" s="50"/>
      <c r="F113" s="1"/>
      <c r="G113" s="1"/>
      <c r="H113" s="1"/>
      <c r="J113" s="27">
        <v>82</v>
      </c>
      <c r="K113" s="493">
        <v>0</v>
      </c>
      <c r="M113" s="493">
        <v>0</v>
      </c>
      <c r="O113" s="493">
        <v>0</v>
      </c>
      <c r="Q113" s="493"/>
      <c r="S113" s="494"/>
      <c r="U113" s="493"/>
      <c r="W113" s="495"/>
      <c r="Y113" s="502"/>
      <c r="AA113" s="493"/>
      <c r="AC113" s="493"/>
      <c r="AE113" s="493"/>
      <c r="AG113" s="493"/>
      <c r="AI113" s="493"/>
      <c r="AK113" s="493">
        <v>0</v>
      </c>
      <c r="AM113" s="493">
        <v>0</v>
      </c>
    </row>
    <row r="114" spans="1:39">
      <c r="A114" s="49"/>
      <c r="B114" s="50"/>
      <c r="C114" s="50"/>
      <c r="D114" s="50"/>
      <c r="E114" s="50"/>
      <c r="F114" s="1"/>
      <c r="G114" s="1"/>
      <c r="H114" s="1"/>
      <c r="J114" s="121">
        <v>83</v>
      </c>
      <c r="K114" s="68"/>
      <c r="M114" s="68"/>
      <c r="O114" s="68"/>
      <c r="Q114" s="68"/>
      <c r="S114" s="500"/>
      <c r="U114" s="68"/>
      <c r="W114" s="501"/>
      <c r="Y114" s="68"/>
      <c r="AA114" s="68"/>
      <c r="AC114" s="68"/>
      <c r="AE114" s="68"/>
      <c r="AG114" s="68"/>
    </row>
    <row r="115" spans="1:39">
      <c r="A115" s="49" t="s">
        <v>541</v>
      </c>
      <c r="B115" s="50"/>
      <c r="C115" s="50"/>
      <c r="D115" s="50"/>
      <c r="E115" s="50"/>
      <c r="F115" s="1"/>
      <c r="G115" s="1"/>
      <c r="H115" s="1"/>
      <c r="J115" s="27">
        <v>84</v>
      </c>
      <c r="K115" s="497">
        <f>SUM(K113,K111)</f>
        <v>1939377</v>
      </c>
      <c r="M115" s="497">
        <f>SUM(M113,M111)</f>
        <v>5893280</v>
      </c>
      <c r="O115" s="497">
        <f>SUM(O113,O111)</f>
        <v>32188132</v>
      </c>
      <c r="Q115" s="497"/>
      <c r="S115" s="498"/>
      <c r="U115" s="497"/>
      <c r="W115" s="499"/>
      <c r="Y115" s="497"/>
      <c r="AA115" s="497"/>
      <c r="AC115" s="497"/>
      <c r="AE115" s="497"/>
      <c r="AG115" s="497"/>
      <c r="AI115" s="497"/>
      <c r="AK115" s="497">
        <f>SUM(AK113,AK111)</f>
        <v>320872335</v>
      </c>
      <c r="AM115" s="497">
        <f>SUM(AM113,AM111)</f>
        <v>0</v>
      </c>
    </row>
    <row r="116" spans="1:39">
      <c r="A116" s="50"/>
      <c r="B116" s="50"/>
      <c r="C116" s="50"/>
      <c r="D116" s="50"/>
      <c r="E116" s="50"/>
      <c r="F116" s="1"/>
      <c r="G116" s="1"/>
      <c r="H116" s="1"/>
      <c r="J116" s="121">
        <v>85</v>
      </c>
      <c r="K116" s="68"/>
      <c r="M116" s="68"/>
      <c r="O116" s="68"/>
      <c r="Q116" s="68"/>
      <c r="S116" s="500"/>
      <c r="U116" s="68"/>
      <c r="W116" s="501"/>
      <c r="Y116" s="68"/>
      <c r="AA116" s="68"/>
      <c r="AC116" s="68"/>
      <c r="AE116" s="68"/>
      <c r="AG116" s="68"/>
    </row>
    <row r="117" spans="1:39">
      <c r="A117" s="49" t="s">
        <v>392</v>
      </c>
      <c r="B117" s="50"/>
      <c r="C117" s="50"/>
      <c r="D117" s="50"/>
      <c r="J117" s="27">
        <v>86</v>
      </c>
      <c r="K117" s="68"/>
      <c r="M117" s="68"/>
      <c r="O117" s="68"/>
      <c r="Q117" s="68"/>
      <c r="S117" s="500"/>
      <c r="U117" s="68"/>
      <c r="W117" s="501"/>
      <c r="Y117" s="68"/>
      <c r="AA117" s="68"/>
      <c r="AC117" s="68"/>
      <c r="AE117" s="68"/>
      <c r="AG117" s="68"/>
    </row>
    <row r="118" spans="1:39">
      <c r="A118" s="49" t="s">
        <v>404</v>
      </c>
      <c r="B118" s="50"/>
      <c r="C118" s="50"/>
      <c r="D118" s="50"/>
      <c r="J118" s="121">
        <v>87</v>
      </c>
      <c r="K118" s="68"/>
      <c r="M118" s="68"/>
      <c r="O118" s="68"/>
      <c r="Q118" s="68"/>
      <c r="S118" s="500"/>
      <c r="U118" s="68"/>
      <c r="W118" s="501"/>
      <c r="Y118" s="68"/>
      <c r="AA118" s="68"/>
      <c r="AC118" s="68"/>
      <c r="AE118" s="68"/>
      <c r="AG118" s="68"/>
    </row>
    <row r="119" spans="1:39">
      <c r="A119" s="50"/>
      <c r="B119" s="50"/>
      <c r="C119" s="50"/>
      <c r="D119" s="50"/>
      <c r="J119" s="27">
        <v>88</v>
      </c>
      <c r="K119" s="68"/>
      <c r="M119" s="68"/>
      <c r="O119" s="68"/>
      <c r="Q119" s="68"/>
      <c r="S119" s="500"/>
      <c r="U119" s="68"/>
      <c r="W119" s="501"/>
      <c r="Y119" s="68"/>
      <c r="AA119" s="68"/>
      <c r="AC119" s="68"/>
      <c r="AE119" s="68"/>
      <c r="AG119" s="68"/>
    </row>
    <row r="120" spans="1:39" ht="15.75">
      <c r="A120" s="48" t="s">
        <v>539</v>
      </c>
      <c r="B120" s="50"/>
      <c r="C120" s="50"/>
      <c r="D120" s="50"/>
      <c r="J120" s="121">
        <v>89</v>
      </c>
      <c r="K120" s="68"/>
      <c r="M120" s="68"/>
      <c r="O120" s="68"/>
      <c r="Q120" s="68"/>
      <c r="S120" s="500"/>
      <c r="U120" s="68"/>
      <c r="W120" s="501"/>
      <c r="Y120" s="68"/>
      <c r="AA120" s="68"/>
      <c r="AC120" s="68"/>
      <c r="AE120" s="68"/>
      <c r="AG120" s="68"/>
    </row>
    <row r="121" spans="1:39" ht="15.75">
      <c r="A121" s="48" t="str">
        <f>A11</f>
        <v>For the Year Ended June 30, 2024</v>
      </c>
      <c r="B121" s="50"/>
      <c r="C121" s="50"/>
      <c r="D121" s="50"/>
      <c r="J121" s="27">
        <v>90</v>
      </c>
      <c r="K121" s="68"/>
      <c r="M121" s="68"/>
      <c r="O121" s="68"/>
      <c r="Q121" s="68"/>
      <c r="S121" s="500"/>
      <c r="U121" s="68"/>
      <c r="W121" s="501"/>
      <c r="Y121" s="68"/>
      <c r="AA121" s="68"/>
      <c r="AC121" s="68"/>
      <c r="AE121" s="68"/>
      <c r="AG121" s="68"/>
    </row>
    <row r="122" spans="1:39">
      <c r="A122" s="50"/>
      <c r="B122" s="50"/>
      <c r="C122" s="50"/>
      <c r="D122" s="50"/>
      <c r="J122" s="121">
        <v>91</v>
      </c>
      <c r="K122" s="68"/>
      <c r="M122" s="68"/>
      <c r="O122" s="68"/>
      <c r="Q122" s="68"/>
      <c r="S122" s="500"/>
      <c r="U122" s="68"/>
      <c r="W122" s="501"/>
      <c r="Y122" s="68"/>
      <c r="AA122" s="68"/>
      <c r="AC122" s="68"/>
      <c r="AE122" s="68"/>
      <c r="AG122" s="68"/>
    </row>
    <row r="123" spans="1:39">
      <c r="A123" s="50"/>
      <c r="B123" s="50"/>
      <c r="C123" s="50"/>
      <c r="D123" s="50"/>
      <c r="J123" s="27">
        <v>92</v>
      </c>
      <c r="K123" s="68"/>
      <c r="M123" s="68"/>
      <c r="O123" s="68"/>
      <c r="Q123" s="68"/>
      <c r="S123" s="500"/>
      <c r="U123" s="68"/>
      <c r="W123" s="501"/>
      <c r="Y123" s="68"/>
      <c r="AA123" s="68"/>
      <c r="AC123" s="68"/>
      <c r="AE123" s="68"/>
      <c r="AG123" s="68"/>
    </row>
    <row r="124" spans="1:39" ht="38.25">
      <c r="A124" s="49" t="s">
        <v>194</v>
      </c>
      <c r="B124" s="50"/>
      <c r="C124" s="50"/>
      <c r="D124" s="50"/>
      <c r="J124" s="121">
        <v>93</v>
      </c>
      <c r="K124" s="534" t="str">
        <f>K32</f>
        <v>Danville Science Center, Inc.</v>
      </c>
      <c r="M124" s="534" t="str">
        <f>M32</f>
        <v>Library of Virginia Foundation</v>
      </c>
      <c r="O124" s="295" t="str">
        <f>O32</f>
        <v>Science Museum of Virginia Foundation, Inc.</v>
      </c>
      <c r="Q124" s="295"/>
      <c r="S124" s="354"/>
      <c r="U124" s="295"/>
      <c r="W124" s="355"/>
      <c r="Y124" s="295"/>
      <c r="AA124" s="295"/>
      <c r="AC124" s="295"/>
      <c r="AE124" s="352"/>
      <c r="AG124" s="295"/>
      <c r="AI124" s="295"/>
      <c r="AK124" s="295" t="str">
        <f>AK32</f>
        <v>Virginia Museum of Fine Arts Foundation</v>
      </c>
      <c r="AM124" s="250" t="s">
        <v>417</v>
      </c>
    </row>
    <row r="125" spans="1:39">
      <c r="A125" s="50" t="s">
        <v>460</v>
      </c>
      <c r="B125" s="50"/>
      <c r="C125" s="50"/>
      <c r="D125" s="50"/>
      <c r="J125" s="27">
        <v>94</v>
      </c>
      <c r="K125" s="493"/>
      <c r="M125" s="493">
        <v>40821</v>
      </c>
      <c r="O125" s="493">
        <v>125</v>
      </c>
      <c r="Q125" s="493"/>
      <c r="S125" s="494"/>
      <c r="U125" s="493"/>
      <c r="W125" s="495"/>
      <c r="Y125" s="493"/>
      <c r="AA125" s="493"/>
      <c r="AC125" s="496"/>
      <c r="AE125" s="493"/>
      <c r="AG125" s="493"/>
      <c r="AI125" s="493"/>
      <c r="AK125" s="493">
        <v>205031</v>
      </c>
      <c r="AM125" s="493">
        <v>0</v>
      </c>
    </row>
    <row r="126" spans="1:39">
      <c r="A126" s="50" t="s">
        <v>66</v>
      </c>
      <c r="B126" s="50"/>
      <c r="C126" s="50"/>
      <c r="D126" s="50"/>
      <c r="J126" s="121">
        <v>95</v>
      </c>
      <c r="K126" s="493"/>
      <c r="M126" s="493">
        <v>0</v>
      </c>
      <c r="O126" s="493"/>
      <c r="Q126" s="493"/>
      <c r="S126" s="494"/>
      <c r="U126" s="502"/>
      <c r="W126" s="495"/>
      <c r="Y126" s="493"/>
      <c r="AA126" s="493"/>
      <c r="AC126" s="496"/>
      <c r="AE126" s="493"/>
      <c r="AG126" s="493"/>
      <c r="AI126" s="493"/>
      <c r="AK126" s="493"/>
      <c r="AM126" s="493">
        <v>0</v>
      </c>
    </row>
    <row r="127" spans="1:39">
      <c r="A127" s="50" t="s">
        <v>409</v>
      </c>
      <c r="B127" s="50"/>
      <c r="C127" s="50"/>
      <c r="D127" s="50"/>
      <c r="I127" s="121"/>
      <c r="J127" s="27">
        <v>96</v>
      </c>
      <c r="K127" s="493"/>
      <c r="M127" s="493"/>
      <c r="O127" s="493"/>
      <c r="Q127" s="493"/>
      <c r="S127" s="494"/>
      <c r="U127" s="493"/>
      <c r="W127" s="495"/>
      <c r="Y127" s="493"/>
      <c r="AA127" s="493"/>
      <c r="AC127" s="496"/>
      <c r="AE127" s="493"/>
      <c r="AG127" s="493"/>
      <c r="AI127" s="493"/>
      <c r="AK127" s="493"/>
      <c r="AM127" s="493">
        <v>0</v>
      </c>
    </row>
    <row r="128" spans="1:39">
      <c r="A128" s="53" t="s">
        <v>67</v>
      </c>
      <c r="B128" s="50"/>
      <c r="C128" s="50"/>
      <c r="D128" s="50"/>
      <c r="J128" s="121">
        <v>97</v>
      </c>
      <c r="K128" s="493"/>
      <c r="M128" s="496"/>
      <c r="O128" s="493"/>
      <c r="Q128" s="493"/>
      <c r="S128" s="494"/>
      <c r="U128" s="502"/>
      <c r="W128" s="495"/>
      <c r="Y128" s="493"/>
      <c r="AA128" s="493"/>
      <c r="AC128" s="496"/>
      <c r="AE128" s="493"/>
      <c r="AG128" s="493"/>
      <c r="AI128" s="493"/>
      <c r="AK128" s="493"/>
      <c r="AM128" s="493">
        <v>0</v>
      </c>
    </row>
    <row r="129" spans="1:39">
      <c r="A129" s="50"/>
      <c r="B129" s="51" t="s">
        <v>195</v>
      </c>
      <c r="C129" s="50"/>
      <c r="D129" s="50"/>
      <c r="I129" s="121"/>
      <c r="J129" s="27">
        <v>98</v>
      </c>
      <c r="K129" s="497">
        <f>SUM(K125:K128)</f>
        <v>0</v>
      </c>
      <c r="M129" s="497">
        <f>SUM(M125:M128)</f>
        <v>40821</v>
      </c>
      <c r="O129" s="497">
        <f>SUM(O125:O128)</f>
        <v>125</v>
      </c>
      <c r="Q129" s="497"/>
      <c r="S129" s="498"/>
      <c r="U129" s="497"/>
      <c r="W129" s="499"/>
      <c r="Y129" s="497"/>
      <c r="AA129" s="497"/>
      <c r="AC129" s="497"/>
      <c r="AE129" s="497"/>
      <c r="AG129" s="497"/>
      <c r="AI129" s="497"/>
      <c r="AK129" s="497">
        <f>SUM(AK125:AK128)</f>
        <v>205031</v>
      </c>
      <c r="AM129" s="497">
        <f>SUM(AM125:AM128)</f>
        <v>0</v>
      </c>
    </row>
    <row r="130" spans="1:39">
      <c r="A130" s="50"/>
      <c r="B130" s="50"/>
      <c r="C130" s="50"/>
      <c r="D130" s="50"/>
      <c r="J130" s="121">
        <v>99</v>
      </c>
      <c r="K130" s="68"/>
      <c r="M130" s="68"/>
      <c r="O130" s="68"/>
      <c r="Q130" s="68"/>
      <c r="S130" s="500"/>
      <c r="U130" s="68"/>
      <c r="W130" s="501"/>
      <c r="Y130" s="68"/>
      <c r="AA130" s="68"/>
      <c r="AC130" s="68"/>
      <c r="AE130" s="68"/>
      <c r="AG130" s="68"/>
    </row>
    <row r="131" spans="1:39">
      <c r="A131" s="51" t="s">
        <v>196</v>
      </c>
      <c r="B131" s="54"/>
      <c r="C131" s="50"/>
      <c r="D131" s="50"/>
      <c r="I131" s="121"/>
      <c r="J131" s="27">
        <v>100</v>
      </c>
      <c r="K131" s="493"/>
      <c r="M131" s="493"/>
      <c r="O131" s="493"/>
      <c r="Q131" s="493"/>
      <c r="S131" s="494"/>
      <c r="U131" s="496"/>
      <c r="W131" s="495"/>
      <c r="Y131" s="493"/>
      <c r="AA131" s="493"/>
      <c r="AC131" s="493"/>
      <c r="AE131" s="493"/>
      <c r="AG131" s="493"/>
      <c r="AI131" s="493"/>
      <c r="AK131" s="493"/>
      <c r="AM131" s="493">
        <v>0</v>
      </c>
    </row>
    <row r="132" spans="1:39">
      <c r="A132" s="51" t="s">
        <v>373</v>
      </c>
      <c r="B132" s="50"/>
      <c r="C132" s="50"/>
      <c r="D132" s="50"/>
      <c r="J132" s="121">
        <v>101</v>
      </c>
      <c r="K132" s="493"/>
      <c r="M132" s="493"/>
      <c r="O132" s="493">
        <v>1928740</v>
      </c>
      <c r="Q132" s="493"/>
      <c r="S132" s="494"/>
      <c r="U132" s="493"/>
      <c r="W132" s="495"/>
      <c r="Y132" s="493"/>
      <c r="AA132" s="493"/>
      <c r="AC132" s="493"/>
      <c r="AE132" s="493"/>
      <c r="AG132" s="493"/>
      <c r="AI132" s="493"/>
      <c r="AK132" s="493"/>
      <c r="AM132" s="493">
        <v>0</v>
      </c>
    </row>
    <row r="133" spans="1:39">
      <c r="A133" s="50" t="s">
        <v>61</v>
      </c>
      <c r="B133" s="50"/>
      <c r="C133" s="50"/>
      <c r="D133" s="50"/>
      <c r="I133" s="121"/>
      <c r="J133" s="27">
        <v>102</v>
      </c>
      <c r="K133" s="493">
        <v>0</v>
      </c>
      <c r="M133" s="493">
        <v>79295</v>
      </c>
      <c r="O133" s="493">
        <v>396382</v>
      </c>
      <c r="Q133" s="493"/>
      <c r="S133" s="494"/>
      <c r="U133" s="493"/>
      <c r="W133" s="495"/>
      <c r="Y133" s="493"/>
      <c r="AA133" s="493"/>
      <c r="AC133" s="496"/>
      <c r="AE133" s="493"/>
      <c r="AG133" s="493"/>
      <c r="AI133" s="493"/>
      <c r="AK133" s="493"/>
      <c r="AM133" s="493">
        <v>0</v>
      </c>
    </row>
    <row r="134" spans="1:39">
      <c r="A134" s="50"/>
      <c r="B134" s="50"/>
      <c r="C134" s="50"/>
      <c r="D134" s="50"/>
      <c r="J134" s="121">
        <v>103</v>
      </c>
      <c r="K134" s="68"/>
      <c r="M134" s="68"/>
      <c r="O134" s="68"/>
      <c r="Q134" s="68"/>
      <c r="S134" s="500"/>
      <c r="U134" s="68"/>
      <c r="W134" s="501"/>
      <c r="Y134" s="68"/>
      <c r="AA134" s="68"/>
      <c r="AC134" s="68"/>
      <c r="AE134" s="68"/>
      <c r="AG134" s="68"/>
    </row>
    <row r="135" spans="1:39">
      <c r="A135" s="51" t="s">
        <v>185</v>
      </c>
      <c r="B135" s="50"/>
      <c r="C135" s="50"/>
      <c r="D135" s="50"/>
      <c r="I135" s="121"/>
      <c r="J135" s="27">
        <v>104</v>
      </c>
      <c r="K135" s="493"/>
      <c r="M135" s="493"/>
      <c r="O135" s="493"/>
      <c r="Q135" s="493"/>
      <c r="S135" s="494"/>
      <c r="U135" s="493"/>
      <c r="W135" s="495"/>
      <c r="Y135" s="493"/>
      <c r="AA135" s="493"/>
      <c r="AC135" s="493"/>
      <c r="AE135" s="493"/>
      <c r="AG135" s="493"/>
      <c r="AI135" s="493"/>
      <c r="AK135" s="493"/>
      <c r="AM135" s="493">
        <v>0</v>
      </c>
    </row>
    <row r="136" spans="1:39" hidden="1">
      <c r="A136" s="50"/>
      <c r="B136" s="50"/>
      <c r="C136" s="50"/>
      <c r="D136" s="50"/>
      <c r="I136" s="121"/>
      <c r="J136" s="121">
        <v>105</v>
      </c>
      <c r="K136" s="68"/>
      <c r="M136" s="68"/>
      <c r="O136" s="68"/>
      <c r="Q136" s="68"/>
      <c r="S136" s="500"/>
      <c r="U136" s="68"/>
      <c r="W136" s="501"/>
      <c r="Y136" s="68"/>
      <c r="AA136" s="68"/>
      <c r="AC136" s="68"/>
      <c r="AE136" s="68"/>
      <c r="AG136" s="68"/>
    </row>
    <row r="137" spans="1:39">
      <c r="A137" s="50"/>
      <c r="B137" s="50"/>
      <c r="C137" s="50"/>
      <c r="D137" s="50"/>
      <c r="J137" s="27">
        <v>106</v>
      </c>
      <c r="K137" s="68"/>
      <c r="M137" s="68"/>
      <c r="O137" s="68"/>
      <c r="Q137" s="68"/>
      <c r="S137" s="500"/>
      <c r="U137" s="68"/>
      <c r="W137" s="501"/>
      <c r="Y137" s="68"/>
      <c r="AA137" s="68"/>
      <c r="AC137" s="68"/>
      <c r="AE137" s="68"/>
      <c r="AG137" s="68"/>
    </row>
    <row r="138" spans="1:39">
      <c r="A138" s="50" t="s">
        <v>197</v>
      </c>
      <c r="B138" s="50"/>
      <c r="C138" s="50"/>
      <c r="D138" s="50"/>
      <c r="I138" s="121"/>
      <c r="J138" s="121">
        <v>107</v>
      </c>
      <c r="K138" s="493"/>
      <c r="M138" s="493"/>
      <c r="O138" s="493"/>
      <c r="Q138" s="493"/>
      <c r="S138" s="494"/>
      <c r="U138" s="493"/>
      <c r="W138" s="495"/>
      <c r="Y138" s="493"/>
      <c r="AA138" s="493"/>
      <c r="AC138" s="493"/>
      <c r="AE138" s="493"/>
      <c r="AG138" s="493"/>
      <c r="AI138" s="493"/>
      <c r="AK138" s="493"/>
      <c r="AM138" s="493">
        <v>0</v>
      </c>
    </row>
    <row r="139" spans="1:39">
      <c r="A139" s="50" t="s">
        <v>198</v>
      </c>
      <c r="B139" s="50"/>
      <c r="C139" s="50"/>
      <c r="D139" s="50"/>
      <c r="J139" s="27">
        <v>108</v>
      </c>
      <c r="K139" s="493"/>
      <c r="M139" s="493"/>
      <c r="O139" s="493"/>
      <c r="Q139" s="493"/>
      <c r="S139" s="494"/>
      <c r="U139" s="493"/>
      <c r="W139" s="495"/>
      <c r="Y139" s="496"/>
      <c r="AA139" s="493"/>
      <c r="AC139" s="493"/>
      <c r="AE139" s="493"/>
      <c r="AG139" s="493"/>
      <c r="AI139" s="493"/>
      <c r="AK139" s="493"/>
      <c r="AM139" s="493">
        <v>0</v>
      </c>
    </row>
    <row r="140" spans="1:39">
      <c r="A140" s="50" t="s">
        <v>175</v>
      </c>
      <c r="B140" s="50"/>
      <c r="C140" s="50"/>
      <c r="D140" s="50"/>
      <c r="I140" s="121"/>
      <c r="J140" s="121">
        <v>109</v>
      </c>
      <c r="K140" s="493"/>
      <c r="M140" s="493"/>
      <c r="O140" s="493"/>
      <c r="Q140" s="493"/>
      <c r="S140" s="494"/>
      <c r="U140" s="493"/>
      <c r="W140" s="495"/>
      <c r="Y140" s="493"/>
      <c r="AA140" s="496"/>
      <c r="AC140" s="493"/>
      <c r="AE140" s="493"/>
      <c r="AG140" s="493"/>
      <c r="AI140" s="493"/>
      <c r="AK140" s="493">
        <v>0</v>
      </c>
      <c r="AM140" s="493">
        <v>0</v>
      </c>
    </row>
    <row r="141" spans="1:39">
      <c r="A141" s="50" t="s">
        <v>68</v>
      </c>
      <c r="B141" s="50"/>
      <c r="C141" s="50"/>
      <c r="D141" s="50"/>
      <c r="J141" s="27">
        <v>110</v>
      </c>
      <c r="K141" s="493"/>
      <c r="M141" s="493">
        <v>3500</v>
      </c>
      <c r="O141" s="493"/>
      <c r="Q141" s="493"/>
      <c r="S141" s="494"/>
      <c r="U141" s="493"/>
      <c r="W141" s="495"/>
      <c r="Y141" s="493"/>
      <c r="AA141" s="496"/>
      <c r="AC141" s="493"/>
      <c r="AE141" s="493"/>
      <c r="AG141" s="493"/>
      <c r="AI141" s="493"/>
      <c r="AK141" s="493">
        <v>1882031</v>
      </c>
      <c r="AM141" s="493">
        <v>0</v>
      </c>
    </row>
    <row r="142" spans="1:39">
      <c r="A142" s="50" t="s">
        <v>199</v>
      </c>
      <c r="B142" s="50"/>
      <c r="C142" s="50"/>
      <c r="D142" s="50"/>
      <c r="I142" s="121"/>
      <c r="J142" s="121">
        <v>111</v>
      </c>
      <c r="K142" s="493"/>
      <c r="M142" s="493"/>
      <c r="O142" s="493"/>
      <c r="Q142" s="493"/>
      <c r="S142" s="494"/>
      <c r="U142" s="493"/>
      <c r="W142" s="495"/>
      <c r="Y142" s="493"/>
      <c r="AA142" s="493"/>
      <c r="AC142" s="493"/>
      <c r="AE142" s="493"/>
      <c r="AG142" s="493"/>
      <c r="AI142" s="493"/>
      <c r="AK142" s="493"/>
      <c r="AM142" s="493">
        <v>0</v>
      </c>
    </row>
    <row r="143" spans="1:39">
      <c r="A143" s="51"/>
      <c r="B143" s="51" t="s">
        <v>58</v>
      </c>
      <c r="C143" s="50"/>
      <c r="D143" s="50"/>
      <c r="J143" s="27">
        <v>112</v>
      </c>
      <c r="K143" s="497">
        <f>SUM(K138:K142)</f>
        <v>0</v>
      </c>
      <c r="M143" s="497">
        <f>SUM(M138:M142)</f>
        <v>3500</v>
      </c>
      <c r="O143" s="497">
        <f>SUM(O138:O142)</f>
        <v>0</v>
      </c>
      <c r="Q143" s="497"/>
      <c r="S143" s="498"/>
      <c r="U143" s="497"/>
      <c r="W143" s="499"/>
      <c r="Y143" s="497"/>
      <c r="AA143" s="497"/>
      <c r="AC143" s="497"/>
      <c r="AE143" s="497"/>
      <c r="AG143" s="497"/>
      <c r="AI143" s="497"/>
      <c r="AK143" s="497">
        <f>SUM(AK138:AK142)</f>
        <v>1882031</v>
      </c>
      <c r="AM143" s="497">
        <f>SUM(AM138:AM142)</f>
        <v>0</v>
      </c>
    </row>
    <row r="144" spans="1:39">
      <c r="A144" s="50"/>
      <c r="B144" s="50"/>
      <c r="C144" s="50"/>
      <c r="D144" s="50"/>
      <c r="I144" s="121"/>
      <c r="J144" s="121">
        <v>113</v>
      </c>
      <c r="K144" s="68"/>
      <c r="M144" s="68"/>
      <c r="O144" s="68"/>
      <c r="Q144" s="68"/>
      <c r="S144" s="500"/>
      <c r="U144" s="68"/>
      <c r="W144" s="501"/>
      <c r="Y144" s="68"/>
      <c r="AA144" s="68"/>
      <c r="AC144" s="68"/>
      <c r="AE144" s="68"/>
      <c r="AG144" s="68"/>
    </row>
    <row r="145" spans="1:39">
      <c r="A145" s="51" t="s">
        <v>186</v>
      </c>
      <c r="B145" s="50"/>
      <c r="C145" s="50"/>
      <c r="D145" s="50"/>
      <c r="J145" s="27">
        <v>114</v>
      </c>
      <c r="K145" s="493">
        <v>0</v>
      </c>
      <c r="M145" s="493">
        <v>0</v>
      </c>
      <c r="O145" s="493">
        <v>0</v>
      </c>
      <c r="Q145" s="493"/>
      <c r="S145" s="494"/>
      <c r="U145" s="493"/>
      <c r="W145" s="495"/>
      <c r="Y145" s="493"/>
      <c r="AA145" s="493"/>
      <c r="AC145" s="493"/>
      <c r="AE145" s="493"/>
      <c r="AG145" s="493"/>
      <c r="AI145" s="493"/>
      <c r="AK145" s="493">
        <v>0</v>
      </c>
      <c r="AM145" s="493">
        <v>0</v>
      </c>
    </row>
    <row r="146" spans="1:39">
      <c r="A146" s="50"/>
      <c r="B146" s="50"/>
      <c r="C146" s="50"/>
      <c r="D146" s="50"/>
      <c r="I146" s="121"/>
      <c r="J146" s="121">
        <v>115</v>
      </c>
      <c r="K146" s="68"/>
      <c r="M146" s="68"/>
      <c r="O146" s="68"/>
      <c r="Q146" s="68"/>
      <c r="S146" s="500"/>
      <c r="U146" s="68"/>
      <c r="W146" s="501"/>
      <c r="Y146" s="68"/>
      <c r="AA146" s="68"/>
      <c r="AC146" s="68"/>
      <c r="AE146" s="68"/>
      <c r="AG146" s="68"/>
    </row>
    <row r="147" spans="1:39" hidden="1">
      <c r="A147" s="50"/>
      <c r="B147" s="50"/>
      <c r="C147" s="50"/>
      <c r="D147" s="50"/>
      <c r="J147" s="27">
        <v>116</v>
      </c>
      <c r="K147" s="68"/>
      <c r="M147" s="68"/>
      <c r="O147" s="68"/>
      <c r="Q147" s="68"/>
      <c r="S147" s="500"/>
      <c r="U147" s="68"/>
      <c r="W147" s="501"/>
      <c r="Y147" s="68"/>
      <c r="AA147" s="68"/>
      <c r="AC147" s="68"/>
      <c r="AE147" s="68"/>
      <c r="AG147" s="68"/>
    </row>
    <row r="148" spans="1:39">
      <c r="A148" s="55" t="s">
        <v>133</v>
      </c>
      <c r="B148" s="50"/>
      <c r="C148" s="50"/>
      <c r="D148" s="50"/>
      <c r="I148" s="121"/>
      <c r="J148" s="121">
        <v>117</v>
      </c>
      <c r="K148" s="493"/>
      <c r="M148" s="493"/>
      <c r="O148" s="493"/>
      <c r="Q148" s="493"/>
      <c r="S148" s="494"/>
      <c r="U148" s="493"/>
      <c r="W148" s="495"/>
      <c r="Y148" s="493"/>
      <c r="AA148" s="493"/>
      <c r="AC148" s="493"/>
      <c r="AE148" s="493"/>
      <c r="AG148" s="493"/>
      <c r="AI148" s="493"/>
      <c r="AK148" s="493"/>
      <c r="AM148" s="493">
        <v>0</v>
      </c>
    </row>
    <row r="149" spans="1:39">
      <c r="A149" s="56" t="s">
        <v>132</v>
      </c>
      <c r="B149" s="50"/>
      <c r="C149" s="50"/>
      <c r="D149" s="50"/>
      <c r="J149" s="27">
        <v>118</v>
      </c>
      <c r="K149" s="493"/>
      <c r="M149" s="493"/>
      <c r="O149" s="493"/>
      <c r="Q149" s="493"/>
      <c r="S149" s="494"/>
      <c r="U149" s="493"/>
      <c r="W149" s="495"/>
      <c r="Y149" s="493"/>
      <c r="AA149" s="493"/>
      <c r="AC149" s="502"/>
      <c r="AE149" s="493"/>
      <c r="AG149" s="493"/>
      <c r="AI149" s="493"/>
      <c r="AK149" s="493"/>
      <c r="AM149" s="493">
        <v>0</v>
      </c>
    </row>
    <row r="150" spans="1:39" hidden="1">
      <c r="A150" s="56" t="s">
        <v>134</v>
      </c>
      <c r="B150" s="50"/>
      <c r="C150" s="50"/>
      <c r="D150" s="50"/>
      <c r="I150" s="121"/>
      <c r="J150" s="121">
        <v>119</v>
      </c>
      <c r="K150" s="493"/>
      <c r="M150" s="493"/>
      <c r="O150" s="493"/>
      <c r="Q150" s="493"/>
      <c r="S150" s="494"/>
      <c r="U150" s="493"/>
      <c r="W150" s="495"/>
      <c r="Y150" s="493"/>
      <c r="AA150" s="493"/>
      <c r="AC150" s="493"/>
      <c r="AE150" s="493"/>
      <c r="AG150" s="493"/>
      <c r="AI150" s="493"/>
      <c r="AK150" s="493"/>
      <c r="AM150" s="493">
        <v>0</v>
      </c>
    </row>
    <row r="151" spans="1:39">
      <c r="A151" s="55" t="s">
        <v>135</v>
      </c>
      <c r="B151" s="50"/>
      <c r="C151" s="50"/>
      <c r="D151" s="50"/>
      <c r="J151" s="27">
        <v>120</v>
      </c>
      <c r="K151" s="493">
        <v>0</v>
      </c>
      <c r="M151" s="493">
        <v>0</v>
      </c>
      <c r="O151" s="493"/>
      <c r="Q151" s="493"/>
      <c r="S151" s="494"/>
      <c r="U151" s="493"/>
      <c r="W151" s="495"/>
      <c r="Y151" s="493"/>
      <c r="AA151" s="496"/>
      <c r="AC151" s="493"/>
      <c r="AE151" s="493"/>
      <c r="AG151" s="493"/>
      <c r="AI151" s="493"/>
      <c r="AK151" s="493">
        <v>75841</v>
      </c>
      <c r="AM151" s="493">
        <v>0</v>
      </c>
    </row>
    <row r="152" spans="1:39">
      <c r="A152" s="55" t="s">
        <v>136</v>
      </c>
      <c r="B152" s="50"/>
      <c r="C152" s="50"/>
      <c r="D152" s="50"/>
      <c r="I152" s="121"/>
      <c r="J152" s="121">
        <v>121</v>
      </c>
      <c r="K152" s="493"/>
      <c r="M152" s="493"/>
      <c r="O152" s="493"/>
      <c r="Q152" s="493"/>
      <c r="S152" s="494"/>
      <c r="U152" s="493"/>
      <c r="W152" s="495"/>
      <c r="Y152" s="493"/>
      <c r="AA152" s="493"/>
      <c r="AC152" s="493"/>
      <c r="AE152" s="493"/>
      <c r="AG152" s="493"/>
      <c r="AI152" s="493"/>
      <c r="AK152" s="493"/>
      <c r="AM152" s="493">
        <v>0</v>
      </c>
    </row>
    <row r="153" spans="1:39" hidden="1">
      <c r="A153" s="55" t="s">
        <v>428</v>
      </c>
      <c r="B153" s="50"/>
      <c r="C153" s="50"/>
      <c r="D153" s="50"/>
      <c r="J153" s="27">
        <v>122</v>
      </c>
      <c r="K153" s="493"/>
      <c r="M153" s="493"/>
      <c r="O153" s="493"/>
      <c r="Q153" s="493"/>
      <c r="S153" s="494"/>
      <c r="U153" s="493"/>
      <c r="W153" s="495"/>
      <c r="Y153" s="493"/>
      <c r="AA153" s="493"/>
      <c r="AC153" s="493"/>
      <c r="AE153" s="493"/>
      <c r="AG153" s="493"/>
      <c r="AI153" s="493"/>
      <c r="AK153" s="493"/>
      <c r="AM153" s="493">
        <v>0</v>
      </c>
    </row>
    <row r="154" spans="1:39" hidden="1">
      <c r="A154" s="55" t="s">
        <v>32</v>
      </c>
      <c r="B154" s="50"/>
      <c r="C154" s="50"/>
      <c r="D154" s="50"/>
      <c r="J154" s="121">
        <v>123</v>
      </c>
      <c r="K154" s="493"/>
      <c r="M154" s="493"/>
      <c r="O154" s="493"/>
      <c r="Q154" s="493"/>
      <c r="S154" s="494"/>
      <c r="U154" s="493"/>
      <c r="W154" s="495"/>
      <c r="Y154" s="493"/>
      <c r="AA154" s="493"/>
      <c r="AC154" s="493"/>
      <c r="AE154" s="493"/>
      <c r="AG154" s="493"/>
      <c r="AI154" s="493"/>
      <c r="AK154" s="493"/>
      <c r="AM154" s="493">
        <v>0</v>
      </c>
    </row>
    <row r="155" spans="1:39">
      <c r="A155" s="55" t="s">
        <v>394</v>
      </c>
      <c r="B155" s="50"/>
      <c r="C155" s="50"/>
      <c r="D155" s="50"/>
      <c r="I155" s="121"/>
      <c r="J155" s="27">
        <v>124</v>
      </c>
      <c r="K155" s="493"/>
      <c r="M155" s="493"/>
      <c r="O155" s="493"/>
      <c r="Q155" s="493"/>
      <c r="S155" s="494"/>
      <c r="U155" s="493"/>
      <c r="W155" s="495"/>
      <c r="Y155" s="493"/>
      <c r="AA155" s="493"/>
      <c r="AC155" s="493"/>
      <c r="AE155" s="493"/>
      <c r="AG155" s="493"/>
      <c r="AI155" s="493"/>
      <c r="AK155" s="493"/>
      <c r="AM155" s="493">
        <v>0</v>
      </c>
    </row>
    <row r="156" spans="1:39">
      <c r="A156" s="55" t="s">
        <v>440</v>
      </c>
      <c r="B156" s="50"/>
      <c r="C156" s="50"/>
      <c r="D156" s="50"/>
      <c r="J156" s="121">
        <v>125</v>
      </c>
      <c r="K156" s="493"/>
      <c r="M156" s="493"/>
      <c r="O156" s="493"/>
      <c r="Q156" s="493"/>
      <c r="S156" s="494"/>
      <c r="U156" s="493"/>
      <c r="W156" s="495"/>
      <c r="Y156" s="493"/>
      <c r="AA156" s="493"/>
      <c r="AC156" s="493"/>
      <c r="AE156" s="493"/>
      <c r="AG156" s="493"/>
      <c r="AI156" s="493"/>
      <c r="AK156" s="493">
        <v>706541</v>
      </c>
      <c r="AM156" s="493">
        <v>0</v>
      </c>
    </row>
    <row r="157" spans="1:39">
      <c r="A157" s="50" t="s">
        <v>110</v>
      </c>
      <c r="B157" s="50"/>
      <c r="C157" s="50"/>
      <c r="D157" s="50"/>
      <c r="J157" s="27">
        <v>126</v>
      </c>
      <c r="K157" s="493"/>
      <c r="M157" s="493"/>
      <c r="O157" s="493"/>
      <c r="Q157" s="493"/>
      <c r="S157" s="494"/>
      <c r="U157" s="493"/>
      <c r="W157" s="495"/>
      <c r="Y157" s="496"/>
      <c r="AA157" s="493"/>
      <c r="AC157" s="493"/>
      <c r="AE157" s="493"/>
      <c r="AG157" s="493"/>
      <c r="AI157" s="493"/>
      <c r="AK157" s="493"/>
      <c r="AM157" s="493">
        <v>0</v>
      </c>
    </row>
    <row r="158" spans="1:39">
      <c r="A158" s="50"/>
      <c r="B158" s="51" t="s">
        <v>429</v>
      </c>
      <c r="C158" s="50"/>
      <c r="D158" s="50"/>
      <c r="I158" s="121"/>
      <c r="J158" s="121">
        <v>127</v>
      </c>
      <c r="K158" s="497">
        <f>SUM(K148:K157)</f>
        <v>0</v>
      </c>
      <c r="M158" s="497">
        <f>SUM(M148:M157)</f>
        <v>0</v>
      </c>
      <c r="O158" s="497">
        <f>SUM(O148:O157)</f>
        <v>0</v>
      </c>
      <c r="Q158" s="497"/>
      <c r="S158" s="498"/>
      <c r="U158" s="497"/>
      <c r="W158" s="499"/>
      <c r="Y158" s="497"/>
      <c r="AA158" s="497"/>
      <c r="AC158" s="497"/>
      <c r="AE158" s="497"/>
      <c r="AG158" s="497"/>
      <c r="AI158" s="497"/>
      <c r="AK158" s="497">
        <f>SUM(AK148:AK157)</f>
        <v>782382</v>
      </c>
      <c r="AM158" s="497">
        <f>SUM(AM148:AM157)</f>
        <v>0</v>
      </c>
    </row>
    <row r="159" spans="1:39">
      <c r="A159" s="50"/>
      <c r="B159" s="51"/>
      <c r="C159" s="50"/>
      <c r="D159" s="50"/>
      <c r="J159" s="27">
        <v>128</v>
      </c>
      <c r="K159" s="68"/>
      <c r="M159" s="68"/>
      <c r="O159" s="68"/>
      <c r="Q159" s="68"/>
      <c r="S159" s="500"/>
      <c r="U159" s="68"/>
      <c r="W159" s="501"/>
      <c r="Y159" s="68"/>
      <c r="AA159" s="68"/>
      <c r="AC159" s="68"/>
      <c r="AE159" s="68"/>
      <c r="AG159" s="68"/>
    </row>
    <row r="160" spans="1:39">
      <c r="A160" s="50" t="s">
        <v>197</v>
      </c>
      <c r="B160" s="50"/>
      <c r="C160" s="50"/>
      <c r="D160" s="50"/>
      <c r="J160" s="121">
        <v>129</v>
      </c>
      <c r="K160" s="493"/>
      <c r="M160" s="493"/>
      <c r="O160" s="493"/>
      <c r="Q160" s="493"/>
      <c r="S160" s="494"/>
      <c r="U160" s="493"/>
      <c r="W160" s="495"/>
      <c r="Y160" s="493"/>
      <c r="AA160" s="493"/>
      <c r="AC160" s="493"/>
      <c r="AE160" s="493"/>
      <c r="AG160" s="493"/>
      <c r="AI160" s="493"/>
      <c r="AK160" s="493"/>
      <c r="AM160" s="493">
        <v>0</v>
      </c>
    </row>
    <row r="161" spans="1:39">
      <c r="A161" s="50" t="s">
        <v>198</v>
      </c>
      <c r="B161" s="50"/>
      <c r="C161" s="50"/>
      <c r="D161" s="50"/>
      <c r="I161" s="121"/>
      <c r="J161" s="27">
        <v>130</v>
      </c>
      <c r="K161" s="493"/>
      <c r="M161" s="493"/>
      <c r="O161" s="493"/>
      <c r="Q161" s="493"/>
      <c r="S161" s="494"/>
      <c r="U161" s="493"/>
      <c r="W161" s="495"/>
      <c r="Y161" s="496"/>
      <c r="AA161" s="493"/>
      <c r="AC161" s="493"/>
      <c r="AE161" s="493"/>
      <c r="AG161" s="493"/>
      <c r="AI161" s="493"/>
      <c r="AK161" s="493"/>
      <c r="AM161" s="493">
        <v>0</v>
      </c>
    </row>
    <row r="162" spans="1:39">
      <c r="A162" s="50" t="s">
        <v>175</v>
      </c>
      <c r="B162" s="50"/>
      <c r="C162" s="50"/>
      <c r="D162" s="50"/>
      <c r="J162" s="121">
        <v>131</v>
      </c>
      <c r="K162" s="493"/>
      <c r="M162" s="493"/>
      <c r="O162" s="493"/>
      <c r="Q162" s="493"/>
      <c r="S162" s="494"/>
      <c r="U162" s="493"/>
      <c r="W162" s="495"/>
      <c r="Y162" s="493"/>
      <c r="AA162" s="493"/>
      <c r="AC162" s="493"/>
      <c r="AE162" s="493"/>
      <c r="AG162" s="493"/>
      <c r="AI162" s="493"/>
      <c r="AK162" s="493"/>
      <c r="AM162" s="493">
        <v>0</v>
      </c>
    </row>
    <row r="163" spans="1:39">
      <c r="A163" s="50" t="s">
        <v>68</v>
      </c>
      <c r="B163" s="50"/>
      <c r="C163" s="50"/>
      <c r="D163" s="50"/>
      <c r="J163" s="27">
        <v>132</v>
      </c>
      <c r="K163" s="493"/>
      <c r="M163" s="493"/>
      <c r="O163" s="493"/>
      <c r="Q163" s="493"/>
      <c r="S163" s="494"/>
      <c r="U163" s="493"/>
      <c r="W163" s="495"/>
      <c r="Y163" s="493"/>
      <c r="AA163" s="493"/>
      <c r="AC163" s="493"/>
      <c r="AE163" s="493"/>
      <c r="AG163" s="493"/>
      <c r="AI163" s="493"/>
      <c r="AK163" s="493"/>
      <c r="AM163" s="493">
        <v>0</v>
      </c>
    </row>
    <row r="164" spans="1:39">
      <c r="A164" s="50" t="s">
        <v>199</v>
      </c>
      <c r="B164" s="50"/>
      <c r="C164" s="50"/>
      <c r="D164" s="50"/>
      <c r="I164" s="121"/>
      <c r="J164" s="121">
        <v>133</v>
      </c>
      <c r="K164" s="493"/>
      <c r="M164" s="493"/>
      <c r="O164" s="493"/>
      <c r="Q164" s="493"/>
      <c r="S164" s="494"/>
      <c r="U164" s="493"/>
      <c r="W164" s="495"/>
      <c r="Y164" s="493"/>
      <c r="AA164" s="493"/>
      <c r="AC164" s="493"/>
      <c r="AE164" s="493"/>
      <c r="AG164" s="493"/>
      <c r="AI164" s="493"/>
      <c r="AK164" s="493"/>
      <c r="AM164" s="493">
        <v>0</v>
      </c>
    </row>
    <row r="165" spans="1:39">
      <c r="A165" s="51"/>
      <c r="B165" s="51" t="s">
        <v>57</v>
      </c>
      <c r="C165" s="50"/>
      <c r="D165" s="50"/>
      <c r="J165" s="27">
        <v>134</v>
      </c>
      <c r="K165" s="497">
        <f>SUM(K160:K164)</f>
        <v>0</v>
      </c>
      <c r="M165" s="497">
        <f>SUM(M160:M164)</f>
        <v>0</v>
      </c>
      <c r="O165" s="497">
        <f>SUM(O160:O164)</f>
        <v>0</v>
      </c>
      <c r="Q165" s="497"/>
      <c r="S165" s="498"/>
      <c r="U165" s="497"/>
      <c r="W165" s="499"/>
      <c r="Y165" s="497"/>
      <c r="AA165" s="497"/>
      <c r="AC165" s="497"/>
      <c r="AE165" s="497"/>
      <c r="AG165" s="497"/>
      <c r="AI165" s="497"/>
      <c r="AK165" s="497">
        <f>SUM(AK160:AK164)</f>
        <v>0</v>
      </c>
      <c r="AM165" s="497">
        <f>SUM(AM160:AM164)</f>
        <v>0</v>
      </c>
    </row>
    <row r="166" spans="1:39">
      <c r="A166" s="50"/>
      <c r="B166" s="50"/>
      <c r="C166" s="50"/>
      <c r="D166" s="50"/>
      <c r="J166" s="121">
        <v>135</v>
      </c>
      <c r="K166" s="68"/>
      <c r="M166" s="68"/>
      <c r="O166" s="68"/>
      <c r="Q166" s="68"/>
      <c r="S166" s="500"/>
      <c r="U166" s="68"/>
      <c r="W166" s="501"/>
      <c r="Y166" s="68"/>
      <c r="AA166" s="68"/>
      <c r="AC166" s="68"/>
      <c r="AE166" s="68"/>
      <c r="AG166" s="68"/>
    </row>
    <row r="167" spans="1:39">
      <c r="A167" s="55" t="s">
        <v>430</v>
      </c>
      <c r="B167" s="50"/>
      <c r="C167" s="50"/>
      <c r="D167" s="50"/>
      <c r="I167" s="121"/>
      <c r="J167" s="27">
        <v>136</v>
      </c>
      <c r="K167" s="493"/>
      <c r="M167" s="493"/>
      <c r="O167" s="493"/>
      <c r="Q167" s="493"/>
      <c r="S167" s="494"/>
      <c r="U167" s="493"/>
      <c r="W167" s="495"/>
      <c r="Y167" s="493"/>
      <c r="AA167" s="493"/>
      <c r="AC167" s="493"/>
      <c r="AE167" s="493"/>
      <c r="AG167" s="493"/>
      <c r="AI167" s="493"/>
      <c r="AK167" s="493">
        <v>41610387</v>
      </c>
      <c r="AM167" s="493">
        <v>0</v>
      </c>
    </row>
    <row r="168" spans="1:39">
      <c r="A168" s="56" t="s">
        <v>56</v>
      </c>
      <c r="B168" s="50"/>
      <c r="C168" s="50"/>
      <c r="D168" s="50"/>
      <c r="J168" s="121">
        <v>137</v>
      </c>
      <c r="K168" s="493"/>
      <c r="M168" s="493"/>
      <c r="O168" s="493"/>
      <c r="Q168" s="493"/>
      <c r="S168" s="494"/>
      <c r="U168" s="493"/>
      <c r="W168" s="495"/>
      <c r="Y168" s="493"/>
      <c r="AA168" s="493"/>
      <c r="AC168" s="502"/>
      <c r="AE168" s="493"/>
      <c r="AG168" s="493"/>
      <c r="AI168" s="493"/>
      <c r="AK168" s="493">
        <v>0</v>
      </c>
      <c r="AM168" s="493">
        <v>0</v>
      </c>
    </row>
    <row r="169" spans="1:39" hidden="1">
      <c r="A169" s="56" t="s">
        <v>59</v>
      </c>
      <c r="B169" s="50"/>
      <c r="C169" s="50"/>
      <c r="D169" s="50"/>
      <c r="J169" s="27">
        <v>138</v>
      </c>
      <c r="K169" s="493"/>
      <c r="M169" s="493"/>
      <c r="O169" s="493"/>
      <c r="Q169" s="493"/>
      <c r="S169" s="494"/>
      <c r="U169" s="493"/>
      <c r="W169" s="495"/>
      <c r="Y169" s="493"/>
      <c r="AA169" s="493"/>
      <c r="AC169" s="493"/>
      <c r="AE169" s="493"/>
      <c r="AG169" s="493"/>
      <c r="AI169" s="493"/>
      <c r="AK169" s="493">
        <v>0</v>
      </c>
      <c r="AM169" s="493">
        <v>0</v>
      </c>
    </row>
    <row r="170" spans="1:39">
      <c r="A170" s="55" t="s">
        <v>107</v>
      </c>
      <c r="B170" s="50"/>
      <c r="C170" s="50"/>
      <c r="D170" s="50"/>
      <c r="I170" s="121"/>
      <c r="J170" s="121">
        <v>139</v>
      </c>
      <c r="K170" s="493"/>
      <c r="M170" s="493">
        <v>0</v>
      </c>
      <c r="O170" s="493"/>
      <c r="Q170" s="493"/>
      <c r="S170" s="494"/>
      <c r="U170" s="493"/>
      <c r="W170" s="495"/>
      <c r="Y170" s="493"/>
      <c r="AA170" s="493"/>
      <c r="AC170" s="493"/>
      <c r="AE170" s="493"/>
      <c r="AG170" s="493"/>
      <c r="AI170" s="493"/>
      <c r="AK170" s="493">
        <v>2193220</v>
      </c>
      <c r="AM170" s="493">
        <v>0</v>
      </c>
    </row>
    <row r="171" spans="1:39">
      <c r="A171" s="55" t="s">
        <v>108</v>
      </c>
      <c r="B171" s="50"/>
      <c r="C171" s="50"/>
      <c r="D171" s="50"/>
      <c r="J171" s="27">
        <v>140</v>
      </c>
      <c r="K171" s="493"/>
      <c r="M171" s="493"/>
      <c r="O171" s="493"/>
      <c r="Q171" s="493"/>
      <c r="S171" s="494"/>
      <c r="U171" s="493"/>
      <c r="W171" s="495"/>
      <c r="Y171" s="493"/>
      <c r="AA171" s="493"/>
      <c r="AC171" s="493"/>
      <c r="AE171" s="493"/>
      <c r="AG171" s="493"/>
      <c r="AI171" s="493"/>
      <c r="AK171" s="493">
        <v>0</v>
      </c>
      <c r="AM171" s="493">
        <v>0</v>
      </c>
    </row>
    <row r="172" spans="1:39" hidden="1">
      <c r="A172" s="55" t="s">
        <v>109</v>
      </c>
      <c r="B172" s="50"/>
      <c r="C172" s="50"/>
      <c r="D172" s="50"/>
      <c r="J172" s="121">
        <v>141</v>
      </c>
      <c r="K172" s="493"/>
      <c r="M172" s="493">
        <v>0</v>
      </c>
      <c r="O172" s="493"/>
      <c r="Q172" s="493"/>
      <c r="S172" s="494"/>
      <c r="U172" s="493"/>
      <c r="W172" s="495"/>
      <c r="Y172" s="493"/>
      <c r="AA172" s="493"/>
      <c r="AC172" s="493"/>
      <c r="AE172" s="493"/>
      <c r="AG172" s="493"/>
      <c r="AI172" s="493"/>
      <c r="AK172" s="493">
        <v>0</v>
      </c>
      <c r="AM172" s="493">
        <v>0</v>
      </c>
    </row>
    <row r="173" spans="1:39" hidden="1">
      <c r="A173" s="55" t="s">
        <v>31</v>
      </c>
      <c r="B173" s="50"/>
      <c r="C173" s="50"/>
      <c r="D173" s="50"/>
      <c r="I173" s="121"/>
      <c r="J173" s="27">
        <v>142</v>
      </c>
      <c r="K173" s="493"/>
      <c r="M173" s="493">
        <v>0</v>
      </c>
      <c r="O173" s="493"/>
      <c r="Q173" s="493"/>
      <c r="S173" s="494"/>
      <c r="U173" s="493"/>
      <c r="W173" s="495"/>
      <c r="Y173" s="493"/>
      <c r="AA173" s="493"/>
      <c r="AC173" s="493"/>
      <c r="AE173" s="493"/>
      <c r="AG173" s="493"/>
      <c r="AI173" s="493"/>
      <c r="AK173" s="493">
        <v>0</v>
      </c>
      <c r="AM173" s="493">
        <v>0</v>
      </c>
    </row>
    <row r="174" spans="1:39">
      <c r="A174" s="55" t="s">
        <v>395</v>
      </c>
      <c r="B174" s="50"/>
      <c r="C174" s="50"/>
      <c r="D174" s="50"/>
      <c r="J174" s="121">
        <v>143</v>
      </c>
      <c r="K174" s="493"/>
      <c r="M174" s="493">
        <v>0</v>
      </c>
      <c r="O174" s="493"/>
      <c r="Q174" s="493"/>
      <c r="S174" s="494"/>
      <c r="U174" s="493"/>
      <c r="W174" s="495"/>
      <c r="Y174" s="493"/>
      <c r="AA174" s="493"/>
      <c r="AC174" s="493"/>
      <c r="AE174" s="493"/>
      <c r="AG174" s="493"/>
      <c r="AI174" s="493"/>
      <c r="AK174" s="493">
        <v>0</v>
      </c>
      <c r="AM174" s="493">
        <v>0</v>
      </c>
    </row>
    <row r="175" spans="1:39">
      <c r="A175" s="55" t="s">
        <v>441</v>
      </c>
      <c r="B175" s="50"/>
      <c r="C175" s="50"/>
      <c r="D175" s="50"/>
      <c r="J175" s="27">
        <v>144</v>
      </c>
      <c r="K175" s="493"/>
      <c r="M175" s="493"/>
      <c r="O175" s="493"/>
      <c r="Q175" s="493"/>
      <c r="S175" s="494"/>
      <c r="U175" s="493"/>
      <c r="W175" s="495"/>
      <c r="Y175" s="493"/>
      <c r="AA175" s="493"/>
      <c r="AC175" s="493"/>
      <c r="AE175" s="493"/>
      <c r="AG175" s="493"/>
      <c r="AI175" s="493"/>
      <c r="AK175" s="493">
        <v>3245363</v>
      </c>
      <c r="AM175" s="493">
        <v>0</v>
      </c>
    </row>
    <row r="176" spans="1:39">
      <c r="A176" s="50" t="s">
        <v>111</v>
      </c>
      <c r="B176" s="50"/>
      <c r="C176" s="50"/>
      <c r="D176" s="50"/>
      <c r="I176" s="121"/>
      <c r="J176" s="121">
        <v>145</v>
      </c>
      <c r="K176" s="493"/>
      <c r="M176" s="493"/>
      <c r="O176" s="493"/>
      <c r="Q176" s="493"/>
      <c r="S176" s="494"/>
      <c r="U176" s="493"/>
      <c r="W176" s="495"/>
      <c r="Y176" s="496"/>
      <c r="AA176" s="493"/>
      <c r="AC176" s="493"/>
      <c r="AE176" s="493"/>
      <c r="AG176" s="493"/>
      <c r="AI176" s="493"/>
      <c r="AK176" s="493">
        <v>0</v>
      </c>
      <c r="AM176" s="493">
        <v>0</v>
      </c>
    </row>
    <row r="177" spans="1:39">
      <c r="A177" s="50"/>
      <c r="B177" s="51" t="s">
        <v>464</v>
      </c>
      <c r="C177" s="50"/>
      <c r="D177" s="50"/>
      <c r="J177" s="27">
        <v>146</v>
      </c>
      <c r="K177" s="497">
        <f>SUM(K167:K176)</f>
        <v>0</v>
      </c>
      <c r="M177" s="497">
        <f>SUM(M167:M176)</f>
        <v>0</v>
      </c>
      <c r="O177" s="497">
        <f>SUM(O167:O176)</f>
        <v>0</v>
      </c>
      <c r="Q177" s="497"/>
      <c r="S177" s="498"/>
      <c r="U177" s="497"/>
      <c r="W177" s="499"/>
      <c r="Y177" s="497"/>
      <c r="AA177" s="497"/>
      <c r="AC177" s="497"/>
      <c r="AE177" s="497"/>
      <c r="AG177" s="497"/>
      <c r="AI177" s="497"/>
      <c r="AK177" s="497">
        <f>SUM(AK167:AK176)</f>
        <v>47048970</v>
      </c>
      <c r="AM177" s="497">
        <f>SUM(AM167:AM176)</f>
        <v>0</v>
      </c>
    </row>
    <row r="178" spans="1:39">
      <c r="A178" s="50"/>
      <c r="B178" s="50"/>
      <c r="C178" s="50"/>
      <c r="D178" s="50"/>
      <c r="J178" s="121">
        <v>147</v>
      </c>
      <c r="K178" s="68"/>
      <c r="M178" s="68"/>
      <c r="O178" s="68"/>
      <c r="Q178" s="68"/>
      <c r="S178" s="500"/>
      <c r="U178" s="68"/>
      <c r="W178" s="501"/>
      <c r="Y178" s="68"/>
      <c r="AA178" s="68"/>
      <c r="AC178" s="68"/>
      <c r="AE178" s="68"/>
      <c r="AG178" s="68"/>
    </row>
    <row r="179" spans="1:39">
      <c r="A179" s="49" t="s">
        <v>381</v>
      </c>
      <c r="B179" s="50"/>
      <c r="C179" s="50"/>
      <c r="D179" s="50"/>
      <c r="I179" s="121"/>
      <c r="J179" s="27">
        <v>148</v>
      </c>
      <c r="K179" s="497">
        <f>SUM(K177,K165,K158,K145,K143,K135,K133,K132,K131,K129)</f>
        <v>0</v>
      </c>
      <c r="M179" s="497">
        <f>SUM(M177,M165,M158,M145,M143,M135,M133,M132,M131,M129)</f>
        <v>123616</v>
      </c>
      <c r="O179" s="497">
        <f>SUM(O177,O165,O158,O145,O143,O135,O133,O132,O131,O129)</f>
        <v>2325247</v>
      </c>
      <c r="Q179" s="497"/>
      <c r="S179" s="498"/>
      <c r="U179" s="497"/>
      <c r="W179" s="499"/>
      <c r="Y179" s="497"/>
      <c r="AA179" s="497"/>
      <c r="AC179" s="497"/>
      <c r="AE179" s="497"/>
      <c r="AG179" s="497"/>
      <c r="AI179" s="497"/>
      <c r="AK179" s="497">
        <f>SUM(AK177,AK165,AK158,AK145,AK143,AK135,AK133,AK132,AK131,AK129)</f>
        <v>49918414</v>
      </c>
      <c r="AM179" s="497">
        <f>SUM(AM177,AM165,AM158,AM145,AM143,AM135,AM133,AM132,AM131,AM129)</f>
        <v>0</v>
      </c>
    </row>
    <row r="180" spans="1:39">
      <c r="A180" s="50"/>
      <c r="B180" s="50"/>
      <c r="C180" s="50"/>
      <c r="D180" s="50"/>
      <c r="J180" s="121">
        <v>149</v>
      </c>
      <c r="K180" s="68"/>
      <c r="M180" s="68"/>
      <c r="O180" s="68"/>
      <c r="Q180" s="68"/>
      <c r="S180" s="500"/>
      <c r="U180" s="68"/>
      <c r="W180" s="501"/>
      <c r="Y180" s="68"/>
      <c r="AA180" s="68"/>
      <c r="AC180" s="68"/>
      <c r="AE180" s="68"/>
      <c r="AG180" s="68"/>
    </row>
    <row r="181" spans="1:39">
      <c r="A181" s="49" t="s">
        <v>542</v>
      </c>
      <c r="B181" s="50"/>
      <c r="C181" s="50"/>
      <c r="D181" s="50"/>
      <c r="E181" s="50"/>
      <c r="F181" s="1"/>
      <c r="G181" s="1"/>
      <c r="H181" s="1"/>
      <c r="J181" s="27">
        <v>150</v>
      </c>
      <c r="K181" s="493">
        <v>0</v>
      </c>
      <c r="M181" s="493">
        <v>0</v>
      </c>
      <c r="O181" s="493">
        <v>0</v>
      </c>
      <c r="Q181" s="493"/>
      <c r="S181" s="494"/>
      <c r="U181" s="493"/>
      <c r="W181" s="495"/>
      <c r="Y181" s="502"/>
      <c r="AA181" s="493"/>
      <c r="AC181" s="493"/>
      <c r="AE181" s="493"/>
      <c r="AG181" s="493"/>
      <c r="AI181" s="493"/>
      <c r="AK181" s="493">
        <v>0</v>
      </c>
      <c r="AM181" s="493">
        <v>0</v>
      </c>
    </row>
    <row r="182" spans="1:39">
      <c r="A182" s="49"/>
      <c r="B182" s="50"/>
      <c r="C182" s="50"/>
      <c r="D182" s="50"/>
      <c r="E182" s="50"/>
      <c r="F182" s="1"/>
      <c r="G182" s="1"/>
      <c r="H182" s="1"/>
      <c r="I182" s="121"/>
      <c r="J182" s="121">
        <v>151</v>
      </c>
      <c r="K182" s="68"/>
      <c r="M182" s="68"/>
      <c r="O182" s="68"/>
      <c r="Q182" s="68"/>
      <c r="S182" s="500"/>
      <c r="U182" s="68"/>
      <c r="W182" s="501"/>
      <c r="Y182" s="68"/>
      <c r="AA182" s="68"/>
      <c r="AC182" s="68"/>
      <c r="AE182" s="68"/>
      <c r="AG182" s="68"/>
    </row>
    <row r="183" spans="1:39">
      <c r="A183" s="49" t="s">
        <v>543</v>
      </c>
      <c r="B183" s="50"/>
      <c r="C183" s="50"/>
      <c r="D183" s="50"/>
      <c r="E183" s="50"/>
      <c r="F183" s="1"/>
      <c r="G183" s="1"/>
      <c r="H183" s="1"/>
      <c r="J183" s="27">
        <v>152</v>
      </c>
      <c r="K183" s="497">
        <f>SUM(K181,K179)</f>
        <v>0</v>
      </c>
      <c r="M183" s="497">
        <f>SUM(M181,M179)</f>
        <v>123616</v>
      </c>
      <c r="O183" s="497">
        <f>SUM(O181,O179)</f>
        <v>2325247</v>
      </c>
      <c r="Q183" s="497"/>
      <c r="S183" s="498"/>
      <c r="U183" s="497"/>
      <c r="W183" s="499"/>
      <c r="Y183" s="497"/>
      <c r="AA183" s="497"/>
      <c r="AC183" s="497"/>
      <c r="AE183" s="497"/>
      <c r="AG183" s="497"/>
      <c r="AI183" s="497"/>
      <c r="AK183" s="497">
        <f>SUM(AK181,AK179)</f>
        <v>49918414</v>
      </c>
      <c r="AM183" s="497">
        <f>SUM(AM181,AM179)</f>
        <v>0</v>
      </c>
    </row>
    <row r="184" spans="1:39">
      <c r="A184" s="50"/>
      <c r="B184" s="50"/>
      <c r="C184" s="50"/>
      <c r="D184" s="50"/>
      <c r="E184" s="50"/>
      <c r="F184" s="1"/>
      <c r="G184" s="1"/>
      <c r="H184" s="1"/>
      <c r="J184" s="121">
        <v>153</v>
      </c>
      <c r="K184" s="68"/>
      <c r="M184" s="68"/>
      <c r="O184" s="68"/>
      <c r="Q184" s="68"/>
      <c r="S184" s="500"/>
      <c r="U184" s="68"/>
      <c r="W184" s="501"/>
      <c r="Y184" s="68"/>
      <c r="AA184" s="68"/>
      <c r="AC184" s="68"/>
      <c r="AE184" s="68"/>
      <c r="AG184" s="68"/>
    </row>
    <row r="185" spans="1:39">
      <c r="A185" s="49" t="s">
        <v>544</v>
      </c>
      <c r="B185" s="50"/>
      <c r="C185" s="50"/>
      <c r="D185" s="50"/>
      <c r="I185" s="121"/>
      <c r="J185" s="27">
        <v>154</v>
      </c>
      <c r="K185" s="68"/>
      <c r="M185" s="68"/>
      <c r="O185" s="68"/>
      <c r="Q185" s="68"/>
      <c r="S185" s="500"/>
      <c r="U185" s="68"/>
      <c r="W185" s="501"/>
      <c r="Y185" s="68"/>
      <c r="AA185" s="68"/>
      <c r="AC185" s="68"/>
      <c r="AE185" s="68"/>
      <c r="AG185" s="68"/>
    </row>
    <row r="186" spans="1:39">
      <c r="A186" s="51" t="s">
        <v>530</v>
      </c>
      <c r="B186" s="50"/>
      <c r="C186" s="50"/>
      <c r="D186" s="50"/>
      <c r="J186" s="121">
        <v>155</v>
      </c>
      <c r="K186" s="493">
        <v>84197</v>
      </c>
      <c r="M186" s="493"/>
      <c r="O186" s="493">
        <v>4481</v>
      </c>
      <c r="Q186" s="493"/>
      <c r="S186" s="494"/>
      <c r="U186" s="493"/>
      <c r="W186" s="495"/>
      <c r="Y186" s="493"/>
      <c r="AA186" s="493"/>
      <c r="AC186" s="493"/>
      <c r="AE186" s="493"/>
      <c r="AG186" s="493"/>
      <c r="AI186" s="493"/>
      <c r="AK186" s="493">
        <v>332589</v>
      </c>
      <c r="AM186" s="493">
        <v>0</v>
      </c>
    </row>
    <row r="187" spans="1:39">
      <c r="A187" s="50" t="s">
        <v>118</v>
      </c>
      <c r="B187" s="50"/>
      <c r="C187" s="50"/>
      <c r="D187" s="50"/>
      <c r="J187" s="27">
        <v>156</v>
      </c>
      <c r="K187" s="68"/>
      <c r="M187" s="68"/>
      <c r="O187" s="68"/>
      <c r="Q187" s="68"/>
      <c r="S187" s="500"/>
      <c r="U187" s="68"/>
      <c r="W187" s="501"/>
      <c r="Y187" s="68"/>
      <c r="AA187" s="68"/>
      <c r="AC187" s="68"/>
      <c r="AE187" s="68"/>
      <c r="AG187" s="68"/>
    </row>
    <row r="188" spans="1:39">
      <c r="A188" s="50"/>
      <c r="B188" s="50" t="s">
        <v>526</v>
      </c>
      <c r="C188" s="50"/>
      <c r="D188" s="50"/>
      <c r="I188" s="121"/>
      <c r="J188" s="121">
        <v>157</v>
      </c>
      <c r="K188" s="493">
        <v>254039</v>
      </c>
      <c r="M188" s="493">
        <v>2329500</v>
      </c>
      <c r="O188" s="493">
        <v>8023776</v>
      </c>
      <c r="Q188" s="493"/>
      <c r="S188" s="494"/>
      <c r="U188" s="493"/>
      <c r="W188" s="495"/>
      <c r="Y188" s="493"/>
      <c r="AA188" s="493"/>
      <c r="AC188" s="493"/>
      <c r="AE188" s="493"/>
      <c r="AG188" s="493"/>
      <c r="AI188" s="493"/>
      <c r="AK188" s="493">
        <v>172550376</v>
      </c>
      <c r="AM188" s="493">
        <v>0</v>
      </c>
    </row>
    <row r="189" spans="1:39">
      <c r="A189" s="50"/>
      <c r="B189" s="50"/>
      <c r="C189" s="50"/>
      <c r="D189" s="50"/>
      <c r="J189" s="27">
        <v>158</v>
      </c>
      <c r="K189" s="68"/>
      <c r="M189" s="68"/>
      <c r="O189" s="68"/>
      <c r="Q189" s="68"/>
      <c r="S189" s="500"/>
      <c r="U189" s="68"/>
      <c r="W189" s="501"/>
      <c r="Y189" s="68"/>
      <c r="AA189" s="68"/>
      <c r="AC189" s="68"/>
      <c r="AE189" s="68"/>
      <c r="AG189" s="68"/>
    </row>
    <row r="190" spans="1:39">
      <c r="A190" s="50"/>
      <c r="B190" s="50" t="s">
        <v>471</v>
      </c>
      <c r="C190" s="50"/>
      <c r="D190" s="50"/>
      <c r="J190" s="121">
        <v>159</v>
      </c>
      <c r="K190" s="68"/>
      <c r="M190" s="68"/>
      <c r="O190" s="68"/>
      <c r="Q190" s="68"/>
      <c r="S190" s="500"/>
      <c r="U190" s="68"/>
      <c r="W190" s="501"/>
      <c r="Y190" s="68"/>
      <c r="AA190" s="68"/>
      <c r="AC190" s="68"/>
      <c r="AE190" s="68"/>
      <c r="AG190" s="68"/>
    </row>
    <row r="191" spans="1:39">
      <c r="A191" s="50"/>
      <c r="B191" s="50"/>
      <c r="C191" s="50" t="s">
        <v>119</v>
      </c>
      <c r="D191" s="50"/>
      <c r="I191" s="121"/>
      <c r="J191" s="27">
        <v>160</v>
      </c>
      <c r="K191" s="493">
        <v>0</v>
      </c>
      <c r="M191" s="493">
        <v>0</v>
      </c>
      <c r="O191" s="493">
        <v>1118954</v>
      </c>
      <c r="Q191" s="493"/>
      <c r="S191" s="494"/>
      <c r="U191" s="493"/>
      <c r="W191" s="495"/>
      <c r="Y191" s="493"/>
      <c r="AA191" s="493"/>
      <c r="AC191" s="493"/>
      <c r="AE191" s="493"/>
      <c r="AG191" s="493"/>
      <c r="AI191" s="493"/>
      <c r="AK191" s="493">
        <v>8003483</v>
      </c>
      <c r="AM191" s="493">
        <v>0</v>
      </c>
    </row>
    <row r="192" spans="1:39">
      <c r="A192" s="50"/>
      <c r="B192" s="50"/>
      <c r="C192" s="50" t="s">
        <v>120</v>
      </c>
      <c r="D192" s="50"/>
      <c r="J192" s="121">
        <v>161</v>
      </c>
      <c r="K192" s="493">
        <v>0</v>
      </c>
      <c r="M192" s="493">
        <v>0</v>
      </c>
      <c r="O192" s="493">
        <v>0</v>
      </c>
      <c r="Q192" s="493"/>
      <c r="S192" s="494"/>
      <c r="U192" s="493"/>
      <c r="W192" s="495"/>
      <c r="Y192" s="493"/>
      <c r="AA192" s="493"/>
      <c r="AC192" s="493"/>
      <c r="AE192" s="493"/>
      <c r="AG192" s="493"/>
      <c r="AI192" s="493"/>
      <c r="AK192" s="493">
        <v>0</v>
      </c>
      <c r="AM192" s="493">
        <v>0</v>
      </c>
    </row>
    <row r="193" spans="1:39">
      <c r="A193" s="50"/>
      <c r="B193" s="50"/>
      <c r="C193" s="50" t="s">
        <v>443</v>
      </c>
      <c r="D193" s="50"/>
      <c r="J193" s="27">
        <v>162</v>
      </c>
      <c r="K193" s="493">
        <v>0</v>
      </c>
      <c r="M193" s="493">
        <v>0</v>
      </c>
      <c r="O193" s="493">
        <v>0</v>
      </c>
      <c r="Q193" s="493"/>
      <c r="S193" s="494"/>
      <c r="U193" s="493"/>
      <c r="W193" s="495"/>
      <c r="Y193" s="493"/>
      <c r="AA193" s="493"/>
      <c r="AC193" s="493"/>
      <c r="AE193" s="493"/>
      <c r="AG193" s="493"/>
      <c r="AI193" s="493"/>
      <c r="AK193" s="493">
        <v>0</v>
      </c>
      <c r="AM193" s="493">
        <v>0</v>
      </c>
    </row>
    <row r="194" spans="1:39">
      <c r="A194" s="50"/>
      <c r="B194" s="50"/>
      <c r="C194" s="51" t="s">
        <v>453</v>
      </c>
      <c r="D194" s="50"/>
      <c r="I194" s="121"/>
      <c r="J194" s="121">
        <v>163</v>
      </c>
      <c r="K194" s="493">
        <v>517287</v>
      </c>
      <c r="M194" s="493">
        <v>1758871</v>
      </c>
      <c r="O194" s="493">
        <v>17212889</v>
      </c>
      <c r="Q194" s="493"/>
      <c r="S194" s="494"/>
      <c r="U194" s="493"/>
      <c r="W194" s="495"/>
      <c r="Y194" s="493"/>
      <c r="AA194" s="493"/>
      <c r="AC194" s="493"/>
      <c r="AE194" s="493"/>
      <c r="AG194" s="493"/>
      <c r="AI194" s="493"/>
      <c r="AK194" s="493">
        <v>106753219</v>
      </c>
      <c r="AM194" s="493">
        <v>0</v>
      </c>
    </row>
    <row r="195" spans="1:39">
      <c r="A195" s="50"/>
      <c r="B195" s="50"/>
      <c r="C195" s="51" t="s">
        <v>121</v>
      </c>
      <c r="D195" s="50"/>
      <c r="J195" s="27">
        <v>164</v>
      </c>
      <c r="K195" s="493">
        <v>0</v>
      </c>
      <c r="M195" s="493">
        <v>0</v>
      </c>
      <c r="O195" s="493">
        <v>0</v>
      </c>
      <c r="Q195" s="493"/>
      <c r="S195" s="494"/>
      <c r="U195" s="493"/>
      <c r="W195" s="495"/>
      <c r="Y195" s="493"/>
      <c r="AA195" s="493"/>
      <c r="AC195" s="493"/>
      <c r="AE195" s="493"/>
      <c r="AG195" s="493"/>
      <c r="AI195" s="493"/>
      <c r="AK195" s="493">
        <v>0</v>
      </c>
      <c r="AM195" s="493">
        <v>0</v>
      </c>
    </row>
    <row r="196" spans="1:39">
      <c r="A196" s="50"/>
      <c r="B196" s="50"/>
      <c r="C196" s="51" t="s">
        <v>122</v>
      </c>
      <c r="D196" s="50"/>
      <c r="J196" s="121">
        <v>165</v>
      </c>
      <c r="K196" s="493">
        <v>0</v>
      </c>
      <c r="M196" s="493">
        <v>0</v>
      </c>
      <c r="O196" s="493">
        <v>0</v>
      </c>
      <c r="Q196" s="493"/>
      <c r="S196" s="494"/>
      <c r="U196" s="493"/>
      <c r="W196" s="495"/>
      <c r="Y196" s="493"/>
      <c r="AA196" s="493"/>
      <c r="AC196" s="493"/>
      <c r="AE196" s="493"/>
      <c r="AG196" s="493"/>
      <c r="AI196" s="493"/>
      <c r="AK196" s="493">
        <v>0</v>
      </c>
      <c r="AM196" s="493">
        <v>0</v>
      </c>
    </row>
    <row r="197" spans="1:39">
      <c r="A197" s="50"/>
      <c r="B197" s="50"/>
      <c r="C197" s="51" t="s">
        <v>67</v>
      </c>
      <c r="D197" s="50"/>
      <c r="I197" s="121"/>
      <c r="J197" s="27">
        <v>166</v>
      </c>
      <c r="K197" s="493">
        <v>0</v>
      </c>
      <c r="M197" s="493">
        <v>0</v>
      </c>
      <c r="O197" s="493">
        <v>0</v>
      </c>
      <c r="Q197" s="493"/>
      <c r="S197" s="494"/>
      <c r="U197" s="493"/>
      <c r="W197" s="495"/>
      <c r="Y197" s="493"/>
      <c r="AA197" s="493"/>
      <c r="AC197" s="493"/>
      <c r="AE197" s="493"/>
      <c r="AG197" s="493"/>
      <c r="AI197" s="493"/>
      <c r="AK197" s="493">
        <v>0</v>
      </c>
      <c r="AM197" s="493">
        <v>0</v>
      </c>
    </row>
    <row r="198" spans="1:39">
      <c r="A198" s="51" t="s">
        <v>123</v>
      </c>
      <c r="B198" s="50"/>
      <c r="C198" s="50"/>
      <c r="D198" s="50"/>
      <c r="J198" s="121">
        <v>167</v>
      </c>
      <c r="K198" s="493">
        <v>1083854</v>
      </c>
      <c r="M198" s="493">
        <v>1681293</v>
      </c>
      <c r="O198" s="493">
        <v>3502785</v>
      </c>
      <c r="Q198" s="493"/>
      <c r="S198" s="494"/>
      <c r="U198" s="493"/>
      <c r="W198" s="495"/>
      <c r="Y198" s="502"/>
      <c r="AA198" s="493"/>
      <c r="AC198" s="493"/>
      <c r="AE198" s="493"/>
      <c r="AG198" s="493"/>
      <c r="AI198" s="493"/>
      <c r="AK198" s="493">
        <v>-16685746</v>
      </c>
      <c r="AM198" s="493">
        <v>0</v>
      </c>
    </row>
    <row r="199" spans="1:39" ht="13.5" thickBot="1">
      <c r="A199" s="49" t="s">
        <v>545</v>
      </c>
      <c r="B199" s="50"/>
      <c r="C199" s="50"/>
      <c r="D199" s="50"/>
      <c r="J199" s="27">
        <v>168</v>
      </c>
      <c r="K199" s="503">
        <f>SUM(K186,K188,K191:K198)</f>
        <v>1939377</v>
      </c>
      <c r="M199" s="503">
        <f>SUM(M186,M188,M191:M198)</f>
        <v>5769664</v>
      </c>
      <c r="O199" s="503">
        <f>SUM(O186,O188,O191:O198)</f>
        <v>29862885</v>
      </c>
      <c r="Q199" s="503"/>
      <c r="S199" s="504"/>
      <c r="U199" s="503"/>
      <c r="W199" s="505"/>
      <c r="Y199" s="503"/>
      <c r="AA199" s="503"/>
      <c r="AC199" s="503"/>
      <c r="AE199" s="503"/>
      <c r="AG199" s="503"/>
      <c r="AI199" s="503"/>
      <c r="AK199" s="503">
        <f>SUM(AK186,AK188,AK191:AK198)</f>
        <v>270953921</v>
      </c>
      <c r="AM199" s="503">
        <f>SUM(AM186,AM188,AM191:AM198)</f>
        <v>0</v>
      </c>
    </row>
    <row r="200" spans="1:39" ht="13.5" thickTop="1">
      <c r="A200" s="49"/>
      <c r="B200" s="341" t="s">
        <v>876</v>
      </c>
      <c r="C200" s="50"/>
      <c r="D200" s="50"/>
      <c r="I200" s="121"/>
      <c r="J200" s="121">
        <v>169</v>
      </c>
      <c r="K200" s="512">
        <f>K115-K183-K199</f>
        <v>0</v>
      </c>
      <c r="M200" s="512">
        <f>M115-M183-M199</f>
        <v>0</v>
      </c>
      <c r="O200" s="506">
        <f>O115-O183-O199</f>
        <v>0</v>
      </c>
      <c r="Q200" s="68"/>
      <c r="S200" s="500"/>
      <c r="U200" s="68"/>
      <c r="W200" s="501"/>
      <c r="Y200" s="68"/>
      <c r="AA200" s="68"/>
      <c r="AC200" s="68"/>
      <c r="AE200" s="68"/>
      <c r="AG200" s="68"/>
      <c r="AK200" s="506">
        <f>AK115-AK183-AK199</f>
        <v>0</v>
      </c>
      <c r="AM200" s="506">
        <f>AM115-AM183-AM199</f>
        <v>0</v>
      </c>
    </row>
    <row r="201" spans="1:39" hidden="1">
      <c r="A201" s="50"/>
      <c r="B201" s="50"/>
      <c r="C201" s="50"/>
      <c r="D201" s="50"/>
      <c r="J201" s="27">
        <v>170</v>
      </c>
      <c r="K201" s="68"/>
      <c r="L201" s="68"/>
      <c r="M201" s="68"/>
      <c r="N201" s="68"/>
      <c r="O201" s="68"/>
      <c r="P201" s="68"/>
      <c r="Q201" s="68"/>
      <c r="R201" s="68"/>
      <c r="S201" s="500"/>
      <c r="T201" s="68"/>
      <c r="U201" s="68"/>
      <c r="V201" s="68"/>
      <c r="W201" s="501"/>
      <c r="X201" s="68"/>
      <c r="Y201" s="68"/>
      <c r="Z201" s="68"/>
      <c r="AA201" s="68"/>
      <c r="AC201" s="68"/>
      <c r="AE201" s="68"/>
      <c r="AG201" s="68"/>
    </row>
    <row r="202" spans="1:39" hidden="1">
      <c r="A202" s="49" t="s">
        <v>392</v>
      </c>
      <c r="B202" s="50"/>
      <c r="C202" s="50"/>
      <c r="D202" s="50"/>
      <c r="J202" s="121">
        <v>171</v>
      </c>
      <c r="K202" s="68"/>
      <c r="M202" s="68"/>
      <c r="O202" s="68"/>
      <c r="Q202" s="68"/>
      <c r="S202" s="500"/>
      <c r="U202" s="68"/>
      <c r="W202" s="501"/>
      <c r="Y202" s="68"/>
      <c r="AA202" s="68"/>
      <c r="AC202" s="68"/>
      <c r="AE202" s="68"/>
      <c r="AG202" s="68"/>
    </row>
    <row r="203" spans="1:39" hidden="1">
      <c r="A203" s="49" t="s">
        <v>404</v>
      </c>
      <c r="B203" s="50"/>
      <c r="C203" s="50"/>
      <c r="D203" s="50"/>
      <c r="I203" s="121"/>
      <c r="J203" s="27">
        <v>172</v>
      </c>
      <c r="K203" s="68"/>
      <c r="M203" s="68"/>
      <c r="O203" s="68"/>
      <c r="Q203" s="68"/>
      <c r="S203" s="500"/>
      <c r="U203" s="68"/>
      <c r="W203" s="501"/>
      <c r="Y203" s="68"/>
      <c r="AA203" s="68"/>
      <c r="AC203" s="68"/>
      <c r="AE203" s="68"/>
      <c r="AG203" s="68"/>
    </row>
    <row r="204" spans="1:39" hidden="1">
      <c r="A204" s="49"/>
      <c r="B204" s="50"/>
      <c r="C204" s="50"/>
      <c r="D204" s="50"/>
      <c r="J204" s="121">
        <v>173</v>
      </c>
      <c r="K204" s="68"/>
      <c r="M204" s="68"/>
      <c r="O204" s="68"/>
      <c r="Q204" s="68"/>
      <c r="S204" s="500"/>
      <c r="U204" s="68"/>
      <c r="W204" s="501"/>
      <c r="Y204" s="68"/>
      <c r="AA204" s="68"/>
      <c r="AC204" s="68"/>
      <c r="AE204" s="68"/>
      <c r="AG204" s="68"/>
    </row>
    <row r="205" spans="1:39" ht="15.75">
      <c r="A205" s="48" t="s">
        <v>469</v>
      </c>
      <c r="B205" s="50"/>
      <c r="C205" s="50"/>
      <c r="D205" s="50"/>
      <c r="J205" s="27">
        <v>174</v>
      </c>
      <c r="K205" s="68"/>
      <c r="M205" s="68"/>
      <c r="O205" s="68"/>
      <c r="Q205" s="68"/>
      <c r="S205" s="500"/>
      <c r="U205" s="68"/>
      <c r="W205" s="501"/>
      <c r="Y205" s="68"/>
      <c r="AA205" s="68"/>
      <c r="AC205" s="68"/>
      <c r="AE205" s="68"/>
      <c r="AG205" s="68"/>
    </row>
    <row r="206" spans="1:39" ht="15.75">
      <c r="A206" s="48" t="str">
        <f>A11</f>
        <v>For the Year Ended June 30, 2024</v>
      </c>
      <c r="B206" s="50"/>
      <c r="C206" s="50"/>
      <c r="D206" s="50"/>
      <c r="I206" s="121"/>
      <c r="J206" s="121">
        <v>175</v>
      </c>
      <c r="K206" s="68"/>
      <c r="M206" s="68"/>
      <c r="O206" s="68"/>
      <c r="Q206" s="68"/>
      <c r="S206" s="500"/>
      <c r="U206" s="68"/>
      <c r="W206" s="501"/>
      <c r="Y206" s="68"/>
      <c r="AA206" s="68"/>
      <c r="AC206" s="68"/>
      <c r="AE206" s="68"/>
      <c r="AG206" s="68"/>
    </row>
    <row r="207" spans="1:39">
      <c r="A207" s="50"/>
      <c r="B207" s="50"/>
      <c r="C207" s="50"/>
      <c r="D207" s="50"/>
      <c r="J207" s="27">
        <v>176</v>
      </c>
      <c r="K207" s="68"/>
      <c r="M207" s="68"/>
      <c r="O207" s="68"/>
      <c r="Q207" s="68"/>
      <c r="S207" s="500"/>
      <c r="U207" s="68"/>
      <c r="W207" s="501"/>
      <c r="Y207" s="68"/>
      <c r="AA207" s="68"/>
      <c r="AC207" s="68"/>
      <c r="AE207" s="68"/>
      <c r="AG207" s="68"/>
    </row>
    <row r="208" spans="1:39" ht="49.5" customHeight="1">
      <c r="A208" s="49" t="s">
        <v>470</v>
      </c>
      <c r="B208" s="50"/>
      <c r="C208" s="50"/>
      <c r="D208" s="50"/>
      <c r="J208" s="121">
        <v>177</v>
      </c>
      <c r="K208" s="534" t="str">
        <f>K32</f>
        <v>Danville Science Center, Inc.</v>
      </c>
      <c r="M208" s="534" t="str">
        <f>M32</f>
        <v>Library of Virginia Foundation</v>
      </c>
      <c r="O208" s="295" t="str">
        <f>O32</f>
        <v>Science Museum of Virginia Foundation, Inc.</v>
      </c>
      <c r="Q208" s="295"/>
      <c r="S208" s="354"/>
      <c r="U208" s="295"/>
      <c r="W208" s="355"/>
      <c r="Y208" s="295"/>
      <c r="AA208" s="295"/>
      <c r="AC208" s="295"/>
      <c r="AE208" s="352"/>
      <c r="AG208" s="295"/>
      <c r="AI208" s="295"/>
      <c r="AK208" s="295" t="str">
        <f>AK32</f>
        <v>Virginia Museum of Fine Arts Foundation</v>
      </c>
      <c r="AM208" s="250" t="s">
        <v>417</v>
      </c>
    </row>
    <row r="209" spans="1:39">
      <c r="A209" s="51" t="s">
        <v>472</v>
      </c>
      <c r="B209" s="50"/>
      <c r="C209" s="50"/>
      <c r="D209" s="50"/>
      <c r="I209" s="121"/>
      <c r="J209" s="27">
        <v>178</v>
      </c>
      <c r="K209" s="493">
        <v>23154</v>
      </c>
      <c r="M209" s="493">
        <v>93468</v>
      </c>
      <c r="O209" s="493">
        <v>0</v>
      </c>
      <c r="Q209" s="502"/>
      <c r="S209" s="494"/>
      <c r="U209" s="493"/>
      <c r="W209" s="495"/>
      <c r="Y209" s="496"/>
      <c r="AA209" s="493"/>
      <c r="AC209" s="493"/>
      <c r="AE209" s="493"/>
      <c r="AG209" s="493"/>
      <c r="AI209" s="496"/>
      <c r="AK209" s="493">
        <v>194447</v>
      </c>
      <c r="AM209" s="493">
        <v>0</v>
      </c>
    </row>
    <row r="210" spans="1:39">
      <c r="A210" s="51" t="s">
        <v>473</v>
      </c>
      <c r="B210" s="50"/>
      <c r="C210" s="50"/>
      <c r="D210" s="50"/>
      <c r="J210" s="121">
        <v>179</v>
      </c>
      <c r="K210" s="493">
        <v>94508</v>
      </c>
      <c r="M210" s="493"/>
      <c r="O210" s="493">
        <v>1043285</v>
      </c>
      <c r="Q210" s="493"/>
      <c r="S210" s="494"/>
      <c r="U210" s="493"/>
      <c r="W210" s="495"/>
      <c r="Y210" s="493"/>
      <c r="AA210" s="493"/>
      <c r="AC210" s="493"/>
      <c r="AE210" s="493"/>
      <c r="AG210" s="493"/>
      <c r="AI210" s="493"/>
      <c r="AK210" s="493">
        <v>23649052</v>
      </c>
      <c r="AM210" s="493">
        <v>0</v>
      </c>
    </row>
    <row r="211" spans="1:39">
      <c r="A211" s="51" t="s">
        <v>65</v>
      </c>
      <c r="B211" s="50"/>
      <c r="C211" s="50"/>
      <c r="D211" s="50"/>
      <c r="J211" s="27">
        <v>180</v>
      </c>
      <c r="K211" s="493"/>
      <c r="M211" s="493"/>
      <c r="O211" s="493"/>
      <c r="Q211" s="493"/>
      <c r="S211" s="494"/>
      <c r="U211" s="502"/>
      <c r="W211" s="495"/>
      <c r="Y211" s="493"/>
      <c r="AA211" s="493"/>
      <c r="AC211" s="493"/>
      <c r="AE211" s="493"/>
      <c r="AG211" s="493"/>
      <c r="AI211" s="493"/>
      <c r="AK211" s="493"/>
      <c r="AM211" s="493">
        <v>0</v>
      </c>
    </row>
    <row r="212" spans="1:39">
      <c r="A212" s="53" t="s">
        <v>39</v>
      </c>
      <c r="B212" s="50"/>
      <c r="C212" s="50"/>
      <c r="D212" s="50"/>
      <c r="I212" s="121"/>
      <c r="J212" s="121">
        <v>181</v>
      </c>
      <c r="K212" s="493"/>
      <c r="M212" s="493"/>
      <c r="O212" s="493"/>
      <c r="Q212" s="493"/>
      <c r="S212" s="494"/>
      <c r="U212" s="493"/>
      <c r="W212" s="495"/>
      <c r="Y212" s="493"/>
      <c r="AA212" s="493"/>
      <c r="AC212" s="493"/>
      <c r="AE212" s="493"/>
      <c r="AG212" s="493"/>
      <c r="AI212" s="493"/>
      <c r="AK212" s="493"/>
      <c r="AM212" s="493">
        <v>0</v>
      </c>
    </row>
    <row r="213" spans="1:39">
      <c r="A213" s="50"/>
      <c r="B213" s="50" t="s">
        <v>372</v>
      </c>
      <c r="C213" s="50"/>
      <c r="D213" s="50"/>
      <c r="J213" s="27">
        <v>182</v>
      </c>
      <c r="K213" s="497">
        <f>SUM(K209:K212)</f>
        <v>117662</v>
      </c>
      <c r="M213" s="497">
        <f>SUM(M209:M212)</f>
        <v>93468</v>
      </c>
      <c r="O213" s="497">
        <f>SUM(O209:O212)</f>
        <v>1043285</v>
      </c>
      <c r="Q213" s="497"/>
      <c r="S213" s="498"/>
      <c r="U213" s="497"/>
      <c r="W213" s="499"/>
      <c r="Y213" s="497"/>
      <c r="AA213" s="497"/>
      <c r="AC213" s="497"/>
      <c r="AE213" s="497"/>
      <c r="AG213" s="497"/>
      <c r="AI213" s="497"/>
      <c r="AK213" s="497">
        <f>SUM(AK209:AK212)</f>
        <v>23843499</v>
      </c>
      <c r="AM213" s="497">
        <f>SUM(AM209:AM212)</f>
        <v>0</v>
      </c>
    </row>
    <row r="214" spans="1:39">
      <c r="A214" s="50"/>
      <c r="B214" s="50"/>
      <c r="C214" s="50"/>
      <c r="D214" s="50"/>
      <c r="J214" s="121">
        <v>183</v>
      </c>
      <c r="K214" s="68"/>
      <c r="M214" s="68"/>
      <c r="O214" s="68"/>
      <c r="Q214" s="68"/>
      <c r="S214" s="500"/>
      <c r="U214" s="68"/>
      <c r="W214" s="501"/>
      <c r="Y214" s="68"/>
      <c r="AA214" s="68"/>
      <c r="AC214" s="68"/>
      <c r="AE214" s="68"/>
      <c r="AG214" s="68"/>
    </row>
    <row r="215" spans="1:39">
      <c r="A215" s="49" t="s">
        <v>474</v>
      </c>
      <c r="B215" s="50"/>
      <c r="C215" s="50"/>
      <c r="D215" s="50"/>
      <c r="I215" s="121"/>
      <c r="J215" s="27">
        <v>184</v>
      </c>
      <c r="K215" s="68"/>
      <c r="M215" s="68"/>
      <c r="O215" s="68"/>
      <c r="Q215" s="68"/>
      <c r="S215" s="500"/>
      <c r="U215" s="68"/>
      <c r="W215" s="501"/>
      <c r="Y215" s="68"/>
      <c r="AA215" s="68"/>
      <c r="AC215" s="68"/>
      <c r="AE215" s="68"/>
      <c r="AG215" s="68"/>
    </row>
    <row r="216" spans="1:39">
      <c r="A216" s="51" t="s">
        <v>371</v>
      </c>
      <c r="B216" s="50"/>
      <c r="C216" s="50"/>
      <c r="D216" s="50"/>
      <c r="J216" s="121">
        <v>185</v>
      </c>
      <c r="K216" s="493">
        <v>3443660</v>
      </c>
      <c r="M216" s="496">
        <v>1588548</v>
      </c>
      <c r="O216" s="493">
        <v>4802238</v>
      </c>
      <c r="Q216" s="493"/>
      <c r="S216" s="494"/>
      <c r="U216" s="493"/>
      <c r="W216" s="495"/>
      <c r="Y216" s="502"/>
      <c r="AA216" s="493"/>
      <c r="AC216" s="493"/>
      <c r="AE216" s="493"/>
      <c r="AG216" s="493"/>
      <c r="AI216" s="493"/>
      <c r="AK216" s="493">
        <v>35373686</v>
      </c>
      <c r="AM216" s="493">
        <v>0</v>
      </c>
    </row>
    <row r="217" spans="1:39">
      <c r="A217" s="51" t="s">
        <v>347</v>
      </c>
      <c r="B217" s="50"/>
      <c r="C217" s="50"/>
      <c r="D217" s="50"/>
      <c r="J217" s="27">
        <v>186</v>
      </c>
      <c r="K217" s="493"/>
      <c r="M217" s="496"/>
      <c r="O217" s="493"/>
      <c r="Q217" s="493"/>
      <c r="S217" s="494"/>
      <c r="U217" s="493"/>
      <c r="W217" s="495"/>
      <c r="Y217" s="493"/>
      <c r="AA217" s="493"/>
      <c r="AC217" s="496"/>
      <c r="AE217" s="493"/>
      <c r="AG217" s="493"/>
      <c r="AI217" s="493"/>
      <c r="AK217" s="493"/>
      <c r="AM217" s="493">
        <v>0</v>
      </c>
    </row>
    <row r="218" spans="1:39">
      <c r="A218" s="53" t="s">
        <v>38</v>
      </c>
      <c r="B218" s="50"/>
      <c r="C218" s="50"/>
      <c r="D218" s="50"/>
      <c r="I218" s="121"/>
      <c r="J218" s="121">
        <v>187</v>
      </c>
      <c r="K218" s="493"/>
      <c r="M218" s="493"/>
      <c r="O218" s="493"/>
      <c r="Q218" s="493"/>
      <c r="S218" s="494"/>
      <c r="U218" s="493"/>
      <c r="W218" s="495"/>
      <c r="Y218" s="493"/>
      <c r="AA218" s="493"/>
      <c r="AC218" s="493"/>
      <c r="AE218" s="493"/>
      <c r="AG218" s="493"/>
      <c r="AI218" s="493"/>
      <c r="AK218" s="493"/>
      <c r="AM218" s="493">
        <v>0</v>
      </c>
    </row>
    <row r="219" spans="1:39">
      <c r="A219" s="50"/>
      <c r="B219" s="50" t="s">
        <v>459</v>
      </c>
      <c r="C219" s="50"/>
      <c r="D219" s="50"/>
      <c r="J219" s="27">
        <v>188</v>
      </c>
      <c r="K219" s="497">
        <f>SUM(K216:K218)</f>
        <v>3443660</v>
      </c>
      <c r="M219" s="497">
        <f>SUM(M216:M218)</f>
        <v>1588548</v>
      </c>
      <c r="O219" s="497">
        <f>SUM(O216:O218)</f>
        <v>4802238</v>
      </c>
      <c r="Q219" s="497"/>
      <c r="S219" s="498"/>
      <c r="U219" s="497"/>
      <c r="W219" s="499"/>
      <c r="Y219" s="497"/>
      <c r="AA219" s="497"/>
      <c r="AC219" s="497"/>
      <c r="AE219" s="497"/>
      <c r="AG219" s="497"/>
      <c r="AI219" s="497"/>
      <c r="AK219" s="497">
        <f>SUM(AK216:AK218)</f>
        <v>35373686</v>
      </c>
      <c r="AM219" s="497">
        <f>SUM(AM216:AM218)</f>
        <v>0</v>
      </c>
    </row>
    <row r="220" spans="1:39">
      <c r="A220" s="50"/>
      <c r="B220" s="50"/>
      <c r="C220" s="50"/>
      <c r="D220" s="50"/>
      <c r="J220" s="121">
        <v>189</v>
      </c>
      <c r="K220" s="68"/>
      <c r="M220" s="68"/>
      <c r="O220" s="68"/>
      <c r="Q220" s="68"/>
      <c r="S220" s="500"/>
      <c r="U220" s="68"/>
      <c r="W220" s="501"/>
      <c r="Y220" s="68"/>
      <c r="AA220" s="68"/>
      <c r="AC220" s="68"/>
      <c r="AE220" s="68"/>
      <c r="AG220" s="68"/>
    </row>
    <row r="221" spans="1:39">
      <c r="A221" s="49" t="s">
        <v>370</v>
      </c>
      <c r="B221" s="50"/>
      <c r="C221" s="50"/>
      <c r="D221" s="50"/>
      <c r="I221" s="121"/>
      <c r="J221" s="27">
        <v>190</v>
      </c>
      <c r="K221" s="497">
        <f>K213-K219</f>
        <v>-3325998</v>
      </c>
      <c r="M221" s="497">
        <f>M213-M219</f>
        <v>-1495080</v>
      </c>
      <c r="O221" s="497">
        <f>O213-O219</f>
        <v>-3758953</v>
      </c>
      <c r="Q221" s="497"/>
      <c r="S221" s="498"/>
      <c r="U221" s="497"/>
      <c r="W221" s="499"/>
      <c r="Y221" s="497"/>
      <c r="AA221" s="497"/>
      <c r="AC221" s="497"/>
      <c r="AE221" s="497"/>
      <c r="AG221" s="497"/>
      <c r="AI221" s="497"/>
      <c r="AK221" s="497">
        <f>AK213-AK219</f>
        <v>-11530187</v>
      </c>
      <c r="AM221" s="497">
        <f>AM213-AM219</f>
        <v>0</v>
      </c>
    </row>
    <row r="222" spans="1:39" hidden="1">
      <c r="A222" s="50"/>
      <c r="B222" s="50"/>
      <c r="C222" s="50"/>
      <c r="D222" s="50"/>
      <c r="J222" s="121">
        <v>191</v>
      </c>
      <c r="K222" s="68"/>
      <c r="M222" s="68"/>
      <c r="O222" s="68"/>
      <c r="Q222" s="68"/>
      <c r="S222" s="500"/>
      <c r="U222" s="68"/>
      <c r="W222" s="501"/>
      <c r="Y222" s="68"/>
      <c r="AA222" s="68"/>
      <c r="AC222" s="68"/>
      <c r="AE222" s="68"/>
      <c r="AG222" s="68"/>
    </row>
    <row r="223" spans="1:39">
      <c r="A223" s="50"/>
      <c r="B223" s="50"/>
      <c r="C223" s="50"/>
      <c r="D223" s="50"/>
      <c r="J223" s="27">
        <v>192</v>
      </c>
      <c r="K223" s="68"/>
      <c r="M223" s="68"/>
      <c r="O223" s="68"/>
      <c r="Q223" s="68"/>
      <c r="S223" s="500"/>
      <c r="U223" s="68"/>
      <c r="W223" s="501"/>
      <c r="Y223" s="68"/>
      <c r="AA223" s="68"/>
      <c r="AC223" s="68"/>
      <c r="AE223" s="68"/>
      <c r="AG223" s="68"/>
    </row>
    <row r="224" spans="1:39">
      <c r="A224" s="49" t="s">
        <v>153</v>
      </c>
      <c r="B224" s="50"/>
      <c r="C224" s="50"/>
      <c r="D224" s="50"/>
      <c r="I224" s="121"/>
      <c r="J224" s="121">
        <v>193</v>
      </c>
      <c r="K224" s="68"/>
      <c r="M224" s="68"/>
      <c r="O224" s="68"/>
      <c r="Q224" s="68"/>
      <c r="S224" s="500"/>
      <c r="U224" s="68"/>
      <c r="W224" s="501"/>
      <c r="Y224" s="68"/>
      <c r="AA224" s="68"/>
      <c r="AC224" s="68"/>
      <c r="AE224" s="68"/>
      <c r="AG224" s="68"/>
    </row>
    <row r="225" spans="1:39">
      <c r="A225" s="50"/>
      <c r="B225" s="51" t="s">
        <v>447</v>
      </c>
      <c r="C225" s="50"/>
      <c r="D225" s="50"/>
      <c r="J225" s="27">
        <v>194</v>
      </c>
      <c r="K225" s="493"/>
      <c r="M225" s="493"/>
      <c r="O225" s="493">
        <v>0</v>
      </c>
      <c r="Q225" s="493"/>
      <c r="S225" s="494"/>
      <c r="U225" s="493"/>
      <c r="W225" s="495"/>
      <c r="Y225" s="493"/>
      <c r="AA225" s="493"/>
      <c r="AC225" s="493"/>
      <c r="AE225" s="493"/>
      <c r="AG225" s="493"/>
      <c r="AI225" s="493"/>
      <c r="AK225" s="493">
        <v>0</v>
      </c>
      <c r="AM225" s="493">
        <v>0</v>
      </c>
    </row>
    <row r="226" spans="1:39">
      <c r="A226" s="50"/>
      <c r="B226" s="51" t="s">
        <v>448</v>
      </c>
      <c r="C226" s="50"/>
      <c r="D226" s="50"/>
      <c r="J226" s="121">
        <v>195</v>
      </c>
      <c r="K226" s="493">
        <v>98518</v>
      </c>
      <c r="M226" s="493">
        <v>255022</v>
      </c>
      <c r="O226" s="493">
        <v>1691174</v>
      </c>
      <c r="Q226" s="493"/>
      <c r="S226" s="494"/>
      <c r="U226" s="493"/>
      <c r="W226" s="495"/>
      <c r="Y226" s="493"/>
      <c r="AA226" s="493"/>
      <c r="AC226" s="493"/>
      <c r="AE226" s="493"/>
      <c r="AG226" s="493"/>
      <c r="AI226" s="493"/>
      <c r="AK226" s="493">
        <v>11265743</v>
      </c>
      <c r="AM226" s="493">
        <v>0</v>
      </c>
    </row>
    <row r="227" spans="1:39">
      <c r="A227" s="50"/>
      <c r="B227" s="51" t="s">
        <v>449</v>
      </c>
      <c r="C227" s="50"/>
      <c r="D227" s="50"/>
      <c r="I227" s="121"/>
      <c r="J227" s="27">
        <v>196</v>
      </c>
      <c r="K227" s="493">
        <v>83943</v>
      </c>
      <c r="M227" s="493">
        <v>455518</v>
      </c>
      <c r="O227" s="493">
        <v>227261</v>
      </c>
      <c r="Q227" s="496"/>
      <c r="S227" s="494"/>
      <c r="U227" s="502"/>
      <c r="W227" s="495"/>
      <c r="Y227" s="496"/>
      <c r="AA227" s="496"/>
      <c r="AC227" s="493"/>
      <c r="AE227" s="493"/>
      <c r="AG227" s="493"/>
      <c r="AI227" s="496"/>
      <c r="AK227" s="493">
        <v>4692575</v>
      </c>
      <c r="AM227" s="493">
        <v>0</v>
      </c>
    </row>
    <row r="228" spans="1:39">
      <c r="A228" s="50"/>
      <c r="B228" s="53" t="s">
        <v>39</v>
      </c>
      <c r="C228" s="50"/>
      <c r="D228" s="50"/>
      <c r="J228" s="121">
        <v>197</v>
      </c>
      <c r="K228" s="493">
        <v>0</v>
      </c>
      <c r="M228" s="493"/>
      <c r="O228" s="493"/>
      <c r="Q228" s="493"/>
      <c r="S228" s="494"/>
      <c r="U228" s="493"/>
      <c r="W228" s="495"/>
      <c r="Y228" s="493"/>
      <c r="AA228" s="496"/>
      <c r="AC228" s="493"/>
      <c r="AE228" s="493"/>
      <c r="AG228" s="493"/>
      <c r="AI228" s="496"/>
      <c r="AK228" s="493">
        <v>0</v>
      </c>
      <c r="AM228" s="493">
        <v>0</v>
      </c>
    </row>
    <row r="229" spans="1:39">
      <c r="A229" s="50"/>
      <c r="B229" s="51" t="s">
        <v>462</v>
      </c>
      <c r="C229" s="50"/>
      <c r="D229" s="50"/>
      <c r="J229" s="27">
        <v>198</v>
      </c>
      <c r="K229" s="493">
        <v>20</v>
      </c>
      <c r="M229" s="493"/>
      <c r="O229" s="493">
        <v>0</v>
      </c>
      <c r="Q229" s="493"/>
      <c r="S229" s="494"/>
      <c r="U229" s="493"/>
      <c r="W229" s="495"/>
      <c r="Y229" s="493"/>
      <c r="AA229" s="496"/>
      <c r="AC229" s="493"/>
      <c r="AE229" s="493"/>
      <c r="AG229" s="493"/>
      <c r="AI229" s="496"/>
      <c r="AK229" s="493">
        <v>742615</v>
      </c>
      <c r="AM229" s="493">
        <v>0</v>
      </c>
    </row>
    <row r="230" spans="1:39">
      <c r="A230" s="50"/>
      <c r="B230" s="51" t="s">
        <v>361</v>
      </c>
      <c r="C230" s="50"/>
      <c r="D230" s="50"/>
      <c r="I230" s="121"/>
      <c r="J230" s="121">
        <v>199</v>
      </c>
      <c r="K230" s="493">
        <v>0</v>
      </c>
      <c r="M230" s="493">
        <v>0</v>
      </c>
      <c r="O230" s="493">
        <v>0</v>
      </c>
      <c r="Q230" s="496"/>
      <c r="S230" s="494"/>
      <c r="U230" s="493"/>
      <c r="W230" s="495"/>
      <c r="Y230" s="493"/>
      <c r="AA230" s="496"/>
      <c r="AC230" s="496"/>
      <c r="AE230" s="493"/>
      <c r="AG230" s="493"/>
      <c r="AI230" s="496"/>
      <c r="AK230" s="493"/>
      <c r="AM230" s="493">
        <v>0</v>
      </c>
    </row>
    <row r="231" spans="1:39">
      <c r="A231" s="50"/>
      <c r="B231" s="51" t="s">
        <v>450</v>
      </c>
      <c r="C231" s="50"/>
      <c r="D231" s="50"/>
      <c r="J231" s="27">
        <v>200</v>
      </c>
      <c r="K231" s="493">
        <v>0</v>
      </c>
      <c r="M231" s="493">
        <v>0</v>
      </c>
      <c r="O231" s="493">
        <v>0</v>
      </c>
      <c r="Q231" s="493"/>
      <c r="S231" s="494"/>
      <c r="U231" s="493"/>
      <c r="W231" s="495"/>
      <c r="Y231" s="493"/>
      <c r="AA231" s="496"/>
      <c r="AC231" s="493"/>
      <c r="AE231" s="493"/>
      <c r="AG231" s="493"/>
      <c r="AI231" s="493"/>
      <c r="AK231" s="493">
        <v>0</v>
      </c>
      <c r="AM231" s="493">
        <v>0</v>
      </c>
    </row>
    <row r="232" spans="1:39">
      <c r="A232" s="50"/>
      <c r="B232" s="51" t="s">
        <v>396</v>
      </c>
      <c r="C232" s="50"/>
      <c r="D232" s="50"/>
      <c r="J232" s="121">
        <v>201</v>
      </c>
      <c r="K232" s="493">
        <v>0</v>
      </c>
      <c r="M232" s="493">
        <v>0</v>
      </c>
      <c r="O232" s="493">
        <v>0</v>
      </c>
      <c r="Q232" s="502"/>
      <c r="S232" s="494"/>
      <c r="U232" s="493"/>
      <c r="W232" s="495"/>
      <c r="Y232" s="493"/>
      <c r="AA232" s="496"/>
      <c r="AC232" s="496"/>
      <c r="AE232" s="493"/>
      <c r="AG232" s="493"/>
      <c r="AI232" s="493"/>
      <c r="AK232" s="493">
        <v>0</v>
      </c>
      <c r="AM232" s="493">
        <v>0</v>
      </c>
    </row>
    <row r="233" spans="1:39">
      <c r="A233" s="50"/>
      <c r="B233" s="51" t="s">
        <v>40</v>
      </c>
      <c r="C233" s="50"/>
      <c r="D233" s="50"/>
      <c r="I233" s="121"/>
      <c r="J233" s="27">
        <v>202</v>
      </c>
      <c r="K233" s="493">
        <v>0</v>
      </c>
      <c r="M233" s="493">
        <v>0</v>
      </c>
      <c r="O233" s="493">
        <v>0</v>
      </c>
      <c r="Q233" s="493"/>
      <c r="S233" s="494"/>
      <c r="U233" s="493"/>
      <c r="W233" s="495"/>
      <c r="Y233" s="493"/>
      <c r="AA233" s="496"/>
      <c r="AC233" s="496"/>
      <c r="AE233" s="493"/>
      <c r="AG233" s="493"/>
      <c r="AI233" s="493"/>
      <c r="AK233" s="493">
        <v>0</v>
      </c>
      <c r="AM233" s="493">
        <v>0</v>
      </c>
    </row>
    <row r="234" spans="1:39">
      <c r="A234" s="50"/>
      <c r="B234" s="51" t="s">
        <v>41</v>
      </c>
      <c r="C234" s="50"/>
      <c r="D234" s="50"/>
      <c r="J234" s="121">
        <v>203</v>
      </c>
      <c r="K234" s="493">
        <v>0</v>
      </c>
      <c r="M234" s="493">
        <v>0</v>
      </c>
      <c r="O234" s="493">
        <v>0</v>
      </c>
      <c r="Q234" s="493"/>
      <c r="S234" s="494"/>
      <c r="U234" s="493"/>
      <c r="W234" s="495"/>
      <c r="Y234" s="493"/>
      <c r="AA234" s="496"/>
      <c r="AC234" s="496"/>
      <c r="AE234" s="493"/>
      <c r="AG234" s="493"/>
      <c r="AI234" s="493"/>
      <c r="AK234" s="493">
        <v>0</v>
      </c>
      <c r="AM234" s="493">
        <v>0</v>
      </c>
    </row>
    <row r="235" spans="1:39">
      <c r="A235" s="50"/>
      <c r="B235" s="50" t="s">
        <v>452</v>
      </c>
      <c r="C235" s="50"/>
      <c r="D235" s="50"/>
      <c r="J235" s="27">
        <v>204</v>
      </c>
      <c r="K235" s="493">
        <v>0</v>
      </c>
      <c r="M235" s="493">
        <v>0</v>
      </c>
      <c r="O235" s="493">
        <v>0</v>
      </c>
      <c r="Q235" s="493"/>
      <c r="S235" s="494"/>
      <c r="U235" s="493"/>
      <c r="W235" s="495"/>
      <c r="Y235" s="493"/>
      <c r="AA235" s="493"/>
      <c r="AC235" s="496"/>
      <c r="AE235" s="493"/>
      <c r="AG235" s="493"/>
      <c r="AI235" s="493"/>
      <c r="AK235" s="493">
        <v>0</v>
      </c>
      <c r="AM235" s="493">
        <v>0</v>
      </c>
    </row>
    <row r="236" spans="1:39">
      <c r="A236" s="50"/>
      <c r="B236" s="50" t="s">
        <v>458</v>
      </c>
      <c r="C236" s="50"/>
      <c r="D236" s="50"/>
      <c r="I236" s="121"/>
      <c r="J236" s="121">
        <v>205</v>
      </c>
      <c r="K236" s="493">
        <v>0</v>
      </c>
      <c r="M236" s="493">
        <v>0</v>
      </c>
      <c r="O236" s="493">
        <v>0</v>
      </c>
      <c r="Q236" s="493"/>
      <c r="S236" s="494"/>
      <c r="U236" s="493"/>
      <c r="W236" s="495"/>
      <c r="Y236" s="493"/>
      <c r="AA236" s="493"/>
      <c r="AC236" s="496"/>
      <c r="AE236" s="493"/>
      <c r="AG236" s="493"/>
      <c r="AI236" s="493"/>
      <c r="AK236" s="493">
        <v>0</v>
      </c>
      <c r="AM236" s="493"/>
    </row>
    <row r="237" spans="1:39">
      <c r="A237" s="50"/>
      <c r="B237" s="50" t="s">
        <v>814</v>
      </c>
      <c r="C237" s="50"/>
      <c r="D237" s="50"/>
      <c r="J237" s="27">
        <v>206</v>
      </c>
      <c r="K237" s="493">
        <v>218907</v>
      </c>
      <c r="M237" s="496">
        <v>889214</v>
      </c>
      <c r="O237" s="493">
        <v>2092598</v>
      </c>
      <c r="Q237" s="493"/>
      <c r="S237" s="494"/>
      <c r="U237" s="493"/>
      <c r="W237" s="495"/>
      <c r="Y237" s="493"/>
      <c r="AA237" s="493"/>
      <c r="AC237" s="493"/>
      <c r="AE237" s="493"/>
      <c r="AG237" s="493"/>
      <c r="AI237" s="493"/>
      <c r="AK237" s="493">
        <v>9506536</v>
      </c>
      <c r="AM237" s="493">
        <v>0</v>
      </c>
    </row>
    <row r="238" spans="1:39">
      <c r="A238" s="50"/>
      <c r="B238" s="50"/>
      <c r="C238" s="50"/>
      <c r="D238" s="50"/>
      <c r="J238" s="121">
        <v>207</v>
      </c>
      <c r="K238" s="38"/>
      <c r="M238" s="38"/>
      <c r="O238" s="38"/>
      <c r="Q238" s="38"/>
      <c r="S238" s="38"/>
      <c r="U238" s="38"/>
      <c r="W238" s="38"/>
      <c r="Y238" s="38"/>
      <c r="AA238" s="38"/>
      <c r="AC238" s="38"/>
      <c r="AE238" s="38"/>
      <c r="AG238" s="38"/>
      <c r="AI238" s="38"/>
      <c r="AK238" s="38"/>
      <c r="AM238" s="38">
        <v>0</v>
      </c>
    </row>
    <row r="239" spans="1:39">
      <c r="A239" s="50"/>
      <c r="B239" s="50"/>
      <c r="C239" s="50" t="s">
        <v>451</v>
      </c>
      <c r="D239" s="50"/>
      <c r="I239" s="121"/>
      <c r="J239" s="27">
        <v>208</v>
      </c>
      <c r="K239" s="497">
        <f>SUM(K225:K238)</f>
        <v>401388</v>
      </c>
      <c r="M239" s="497">
        <f>SUM(M225:M238)</f>
        <v>1599754</v>
      </c>
      <c r="O239" s="497">
        <f>SUM(O225:O238)</f>
        <v>4011033</v>
      </c>
      <c r="Q239" s="497"/>
      <c r="S239" s="498"/>
      <c r="U239" s="497"/>
      <c r="W239" s="499"/>
      <c r="Y239" s="497"/>
      <c r="AA239" s="497"/>
      <c r="AC239" s="497"/>
      <c r="AE239" s="497"/>
      <c r="AG239" s="497"/>
      <c r="AI239" s="497"/>
      <c r="AK239" s="497">
        <f>SUM(AK225:AK238)</f>
        <v>26207469</v>
      </c>
      <c r="AM239" s="497">
        <f>SUM(AM225:AM238)</f>
        <v>0</v>
      </c>
    </row>
    <row r="240" spans="1:39">
      <c r="A240" s="50"/>
      <c r="B240" s="50"/>
      <c r="C240" s="50"/>
      <c r="D240" s="50"/>
      <c r="J240" s="121">
        <v>209</v>
      </c>
      <c r="K240" s="68"/>
      <c r="M240" s="68"/>
      <c r="O240" s="68"/>
      <c r="Q240" s="68"/>
      <c r="S240" s="500"/>
      <c r="U240" s="68"/>
      <c r="W240" s="501"/>
      <c r="Y240" s="68"/>
      <c r="AA240" s="68"/>
      <c r="AC240" s="68"/>
      <c r="AE240" s="68"/>
      <c r="AG240" s="68"/>
    </row>
    <row r="241" spans="1:39">
      <c r="A241" s="51" t="s">
        <v>546</v>
      </c>
      <c r="B241" s="50"/>
      <c r="C241" s="50"/>
      <c r="D241" s="50"/>
      <c r="J241" s="27">
        <v>210</v>
      </c>
      <c r="K241" s="507">
        <f>K221+K239</f>
        <v>-2924610</v>
      </c>
      <c r="M241" s="507">
        <f>M221+M239</f>
        <v>104674</v>
      </c>
      <c r="O241" s="507">
        <f>O221+O239</f>
        <v>252080</v>
      </c>
      <c r="Q241" s="507"/>
      <c r="S241" s="508"/>
      <c r="U241" s="507"/>
      <c r="W241" s="509"/>
      <c r="Y241" s="507"/>
      <c r="AA241" s="507"/>
      <c r="AC241" s="507"/>
      <c r="AE241" s="507"/>
      <c r="AG241" s="507"/>
      <c r="AI241" s="507"/>
      <c r="AK241" s="507">
        <f>AK221+AK239</f>
        <v>14677282</v>
      </c>
      <c r="AM241" s="507">
        <f>AM221+AM239</f>
        <v>0</v>
      </c>
    </row>
    <row r="242" spans="1:39">
      <c r="A242" s="50"/>
      <c r="B242" s="50"/>
      <c r="C242" s="50"/>
      <c r="D242" s="50"/>
      <c r="I242" s="121"/>
      <c r="J242" s="121">
        <v>211</v>
      </c>
      <c r="K242" s="68"/>
      <c r="M242" s="68"/>
      <c r="O242" s="68"/>
      <c r="Q242" s="68"/>
      <c r="S242" s="500"/>
      <c r="U242" s="68"/>
      <c r="W242" s="501"/>
      <c r="Y242" s="68"/>
      <c r="AA242" s="68"/>
      <c r="AC242" s="68"/>
      <c r="AE242" s="68"/>
      <c r="AG242" s="68"/>
    </row>
    <row r="243" spans="1:39">
      <c r="A243" s="51" t="s">
        <v>547</v>
      </c>
      <c r="B243" s="50"/>
      <c r="C243" s="50"/>
      <c r="D243" s="50"/>
      <c r="J243" s="27">
        <v>212</v>
      </c>
      <c r="K243" s="493">
        <v>4863987</v>
      </c>
      <c r="M243" s="496">
        <v>5664990</v>
      </c>
      <c r="O243" s="493">
        <v>29610805</v>
      </c>
      <c r="Q243" s="493"/>
      <c r="S243" s="494"/>
      <c r="U243" s="493"/>
      <c r="W243" s="495"/>
      <c r="Y243" s="510"/>
      <c r="AA243" s="493"/>
      <c r="AC243" s="493"/>
      <c r="AE243" s="493"/>
      <c r="AG243" s="493"/>
      <c r="AI243" s="496"/>
      <c r="AK243" s="493">
        <v>256276639</v>
      </c>
      <c r="AM243" s="493">
        <v>0</v>
      </c>
    </row>
    <row r="244" spans="1:39">
      <c r="A244" s="50"/>
      <c r="B244" s="50"/>
      <c r="C244" s="50"/>
      <c r="D244" s="50"/>
      <c r="J244" s="121">
        <v>213</v>
      </c>
      <c r="K244" s="68"/>
      <c r="M244" s="68"/>
      <c r="O244" s="68"/>
      <c r="Q244" s="68"/>
      <c r="S244" s="500"/>
      <c r="U244" s="68"/>
      <c r="W244" s="501"/>
      <c r="Y244" s="68"/>
      <c r="AA244" s="68"/>
      <c r="AC244" s="68"/>
      <c r="AE244" s="68"/>
      <c r="AG244" s="68"/>
    </row>
    <row r="245" spans="1:39" ht="13.5" thickBot="1">
      <c r="A245" s="51" t="s">
        <v>548</v>
      </c>
      <c r="B245" s="50"/>
      <c r="C245" s="50"/>
      <c r="D245" s="50"/>
      <c r="I245" s="121"/>
      <c r="J245" s="27">
        <v>214</v>
      </c>
      <c r="K245" s="503">
        <f>SUM(K241:K243)</f>
        <v>1939377</v>
      </c>
      <c r="M245" s="503">
        <f>SUM(M241:M243)</f>
        <v>5769664</v>
      </c>
      <c r="O245" s="503">
        <f>SUM(O241:O243)</f>
        <v>29862885</v>
      </c>
      <c r="Q245" s="503"/>
      <c r="S245" s="504"/>
      <c r="U245" s="503"/>
      <c r="W245" s="505"/>
      <c r="Y245" s="503"/>
      <c r="AA245" s="503"/>
      <c r="AC245" s="503"/>
      <c r="AE245" s="503"/>
      <c r="AG245" s="503"/>
      <c r="AI245" s="503"/>
      <c r="AK245" s="503">
        <f>SUM(AK241:AK243)</f>
        <v>270953921</v>
      </c>
      <c r="AM245" s="503">
        <f>SUM(AM241:AM243)</f>
        <v>0</v>
      </c>
    </row>
    <row r="246" spans="1:39" ht="13.5" thickTop="1">
      <c r="B246" s="341"/>
      <c r="S246" s="488"/>
      <c r="W246" s="492"/>
    </row>
    <row r="247" spans="1:39">
      <c r="B247" s="341" t="s">
        <v>877</v>
      </c>
      <c r="J247" s="511"/>
      <c r="K247" s="512">
        <f>K199-K245</f>
        <v>0</v>
      </c>
      <c r="M247" s="512">
        <f>M199-M245</f>
        <v>0</v>
      </c>
      <c r="O247" s="512">
        <f>O199-O245</f>
        <v>0</v>
      </c>
      <c r="Q247" s="68"/>
      <c r="S247" s="500"/>
      <c r="U247" s="68"/>
      <c r="W247" s="501"/>
      <c r="Y247" s="68"/>
      <c r="AA247" s="68"/>
      <c r="AC247" s="68"/>
      <c r="AE247" s="68"/>
      <c r="AG247" s="68"/>
      <c r="AK247" s="512">
        <f>AK199-AK245</f>
        <v>0</v>
      </c>
    </row>
    <row r="248" spans="1:39" hidden="1">
      <c r="H248" s="26" t="s">
        <v>249</v>
      </c>
      <c r="S248" s="488"/>
      <c r="W248" s="492"/>
    </row>
    <row r="249" spans="1:39" ht="38.25" hidden="1">
      <c r="J249" s="27">
        <v>1</v>
      </c>
      <c r="K249" s="535" t="str">
        <f>K32</f>
        <v>Danville Science Center, Inc.</v>
      </c>
      <c r="M249" s="535" t="str">
        <f>M32</f>
        <v>Library of Virginia Foundation</v>
      </c>
      <c r="O249" s="318" t="str">
        <f>O32</f>
        <v>Science Museum of Virginia Foundation, Inc.</v>
      </c>
      <c r="Q249" s="318"/>
      <c r="S249" s="354"/>
      <c r="U249" s="318"/>
      <c r="W249" s="355"/>
      <c r="Y249" s="318"/>
      <c r="AA249" s="318"/>
      <c r="AC249" s="318"/>
      <c r="AE249" s="352"/>
      <c r="AG249" s="295"/>
      <c r="AI249" s="318"/>
      <c r="AK249" s="318" t="str">
        <f>AK32</f>
        <v>Virginia Museum of Fine Arts Foundation</v>
      </c>
      <c r="AM249" s="250" t="s">
        <v>417</v>
      </c>
    </row>
    <row r="250" spans="1:39" hidden="1">
      <c r="J250" s="121">
        <v>2</v>
      </c>
      <c r="K250" s="68"/>
      <c r="M250" s="68"/>
      <c r="O250" s="68"/>
      <c r="Q250" s="68"/>
      <c r="S250" s="500"/>
      <c r="U250" s="68"/>
      <c r="W250" s="501"/>
      <c r="Y250" s="68"/>
      <c r="AA250" s="68"/>
      <c r="AC250" s="68"/>
      <c r="AE250" s="68"/>
      <c r="AG250" s="68"/>
    </row>
    <row r="251" spans="1:39" hidden="1">
      <c r="A251" s="2"/>
      <c r="E251" s="2"/>
      <c r="H251" s="2" t="s">
        <v>499</v>
      </c>
      <c r="J251" s="27">
        <v>3</v>
      </c>
      <c r="K251" s="68"/>
      <c r="M251" s="68"/>
      <c r="O251" s="68"/>
      <c r="Q251" s="68"/>
      <c r="S251" s="500"/>
      <c r="U251" s="68"/>
      <c r="W251" s="501"/>
      <c r="Y251" s="68"/>
      <c r="AA251" s="68"/>
      <c r="AC251" s="68"/>
      <c r="AE251" s="68"/>
      <c r="AG251" s="68"/>
    </row>
    <row r="252" spans="1:39" hidden="1">
      <c r="B252" s="2"/>
      <c r="E252" s="2"/>
      <c r="H252" s="2" t="s">
        <v>478</v>
      </c>
      <c r="J252" s="121">
        <v>4</v>
      </c>
      <c r="K252" s="493"/>
      <c r="M252" s="493"/>
      <c r="O252" s="493"/>
      <c r="Q252" s="493"/>
      <c r="S252" s="494"/>
      <c r="U252" s="493"/>
      <c r="W252" s="495"/>
      <c r="Y252" s="493"/>
      <c r="AA252" s="493"/>
      <c r="AC252" s="493"/>
      <c r="AE252" s="493"/>
      <c r="AG252" s="493"/>
      <c r="AI252" s="493"/>
      <c r="AK252" s="493"/>
      <c r="AM252" s="493">
        <v>0</v>
      </c>
    </row>
    <row r="253" spans="1:39" hidden="1">
      <c r="B253" s="2"/>
      <c r="E253" s="2"/>
      <c r="H253" s="2" t="s">
        <v>479</v>
      </c>
      <c r="J253" s="27">
        <v>5</v>
      </c>
      <c r="K253" s="493"/>
      <c r="M253" s="493"/>
      <c r="O253" s="493"/>
      <c r="Q253" s="493"/>
      <c r="S253" s="494"/>
      <c r="U253" s="493"/>
      <c r="W253" s="495"/>
      <c r="Y253" s="493"/>
      <c r="AA253" s="493"/>
      <c r="AC253" s="493"/>
      <c r="AE253" s="493"/>
      <c r="AG253" s="493"/>
      <c r="AI253" s="493"/>
      <c r="AK253" s="493"/>
      <c r="AM253" s="493">
        <v>0</v>
      </c>
    </row>
    <row r="254" spans="1:39" hidden="1">
      <c r="B254" s="2"/>
      <c r="E254" s="254"/>
      <c r="H254" s="254" t="s">
        <v>92</v>
      </c>
      <c r="J254" s="121">
        <v>6</v>
      </c>
      <c r="K254" s="493"/>
      <c r="M254" s="493"/>
      <c r="O254" s="493"/>
      <c r="Q254" s="493"/>
      <c r="S254" s="494"/>
      <c r="U254" s="493"/>
      <c r="W254" s="495"/>
      <c r="Y254" s="493"/>
      <c r="AA254" s="493"/>
      <c r="AC254" s="493"/>
      <c r="AE254" s="493"/>
      <c r="AG254" s="493"/>
      <c r="AI254" s="493"/>
      <c r="AK254" s="493"/>
      <c r="AM254" s="493">
        <v>0</v>
      </c>
    </row>
    <row r="255" spans="1:39" hidden="1">
      <c r="B255" s="7"/>
      <c r="E255" s="254"/>
      <c r="H255" s="254" t="s">
        <v>93</v>
      </c>
      <c r="J255" s="27">
        <v>7</v>
      </c>
      <c r="K255" s="493"/>
      <c r="M255" s="493"/>
      <c r="O255" s="493"/>
      <c r="Q255" s="493"/>
      <c r="S255" s="494"/>
      <c r="U255" s="493"/>
      <c r="W255" s="495"/>
      <c r="Y255" s="493"/>
      <c r="AA255" s="493"/>
      <c r="AC255" s="493"/>
      <c r="AE255" s="493"/>
      <c r="AG255" s="493"/>
      <c r="AI255" s="493"/>
      <c r="AK255" s="493"/>
      <c r="AM255" s="493">
        <v>0</v>
      </c>
    </row>
    <row r="256" spans="1:39" hidden="1">
      <c r="B256" s="7"/>
      <c r="E256" s="254"/>
      <c r="H256" s="254" t="s">
        <v>166</v>
      </c>
      <c r="J256" s="121">
        <v>8</v>
      </c>
      <c r="K256" s="493"/>
      <c r="M256" s="493"/>
      <c r="O256" s="493"/>
      <c r="Q256" s="493"/>
      <c r="S256" s="494"/>
      <c r="U256" s="493"/>
      <c r="W256" s="495"/>
      <c r="Y256" s="493"/>
      <c r="AA256" s="493"/>
      <c r="AC256" s="493"/>
      <c r="AE256" s="493"/>
      <c r="AG256" s="493"/>
      <c r="AI256" s="493"/>
      <c r="AK256" s="493"/>
      <c r="AM256" s="493">
        <v>0</v>
      </c>
    </row>
    <row r="257" spans="1:39" ht="21.75" hidden="1" customHeight="1">
      <c r="B257" s="2"/>
      <c r="E257" s="255"/>
      <c r="H257" s="2" t="s">
        <v>168</v>
      </c>
      <c r="J257" s="121">
        <v>9</v>
      </c>
      <c r="K257" s="497">
        <f>SUM(K252:K256)</f>
        <v>0</v>
      </c>
      <c r="M257" s="497">
        <f>SUM(M252:M256)</f>
        <v>0</v>
      </c>
      <c r="O257" s="497">
        <f>SUM(O252:O256)</f>
        <v>0</v>
      </c>
      <c r="Q257" s="497"/>
      <c r="S257" s="498"/>
      <c r="U257" s="497"/>
      <c r="W257" s="499"/>
      <c r="Y257" s="497"/>
      <c r="AA257" s="497"/>
      <c r="AC257" s="497"/>
      <c r="AE257" s="497"/>
      <c r="AG257" s="497"/>
      <c r="AI257" s="497"/>
      <c r="AK257" s="497">
        <f>SUM(AK252:AK256)</f>
        <v>0</v>
      </c>
      <c r="AM257" s="497">
        <f>SUM(AM252:AM256)</f>
        <v>0</v>
      </c>
    </row>
    <row r="258" spans="1:39" ht="22.5" hidden="1" customHeight="1">
      <c r="E258" s="255"/>
      <c r="J258" s="121">
        <v>10</v>
      </c>
      <c r="K258" s="68"/>
      <c r="M258" s="68"/>
      <c r="O258" s="68"/>
      <c r="Q258" s="68"/>
      <c r="S258" s="500"/>
      <c r="U258" s="68"/>
      <c r="W258" s="501"/>
      <c r="Y258" s="68"/>
      <c r="AA258" s="68"/>
      <c r="AC258" s="68"/>
      <c r="AE258" s="68"/>
      <c r="AG258" s="68"/>
    </row>
    <row r="259" spans="1:39" hidden="1">
      <c r="E259" s="256"/>
      <c r="H259" s="2"/>
      <c r="J259" s="27">
        <v>11</v>
      </c>
      <c r="K259" s="68"/>
      <c r="M259" s="68"/>
      <c r="O259" s="68"/>
      <c r="Q259" s="68"/>
      <c r="S259" s="500"/>
      <c r="U259" s="68"/>
      <c r="W259" s="501"/>
      <c r="Y259" s="68"/>
      <c r="AA259" s="68"/>
      <c r="AC259" s="68"/>
      <c r="AE259" s="68"/>
      <c r="AG259" s="68"/>
    </row>
    <row r="260" spans="1:39" hidden="1">
      <c r="A260" s="2"/>
      <c r="E260" s="2"/>
      <c r="H260" s="2" t="s">
        <v>506</v>
      </c>
      <c r="J260" s="121">
        <v>12</v>
      </c>
      <c r="K260" s="68"/>
      <c r="M260" s="68"/>
      <c r="O260" s="68"/>
      <c r="Q260" s="68"/>
      <c r="S260" s="500"/>
      <c r="U260" s="68"/>
      <c r="W260" s="501"/>
      <c r="Y260" s="68"/>
      <c r="AA260" s="68"/>
      <c r="AC260" s="68"/>
      <c r="AE260" s="68"/>
      <c r="AG260" s="68"/>
    </row>
    <row r="261" spans="1:39" hidden="1">
      <c r="B261" s="2"/>
      <c r="E261" s="2"/>
      <c r="H261" s="2" t="s">
        <v>480</v>
      </c>
      <c r="J261" s="27">
        <v>13</v>
      </c>
      <c r="K261" s="493">
        <v>0</v>
      </c>
      <c r="M261" s="493"/>
      <c r="O261" s="493"/>
      <c r="Q261" s="493"/>
      <c r="S261" s="494"/>
      <c r="U261" s="493"/>
      <c r="W261" s="495"/>
      <c r="Y261" s="493"/>
      <c r="AA261" s="493"/>
      <c r="AC261" s="493"/>
      <c r="AE261" s="493"/>
      <c r="AG261" s="493"/>
      <c r="AI261" s="493"/>
      <c r="AK261" s="493"/>
      <c r="AM261" s="493">
        <v>0</v>
      </c>
    </row>
    <row r="262" spans="1:39" hidden="1">
      <c r="B262" s="2"/>
      <c r="E262" s="2"/>
      <c r="H262" s="2" t="s">
        <v>481</v>
      </c>
      <c r="J262" s="121">
        <v>14</v>
      </c>
      <c r="K262" s="493"/>
      <c r="M262" s="493"/>
      <c r="O262" s="493"/>
      <c r="Q262" s="496"/>
      <c r="S262" s="494"/>
      <c r="U262" s="493"/>
      <c r="W262" s="495"/>
      <c r="Y262" s="493"/>
      <c r="AA262" s="493"/>
      <c r="AC262" s="493"/>
      <c r="AE262" s="493"/>
      <c r="AG262" s="493"/>
      <c r="AI262" s="493"/>
      <c r="AK262" s="493"/>
      <c r="AM262" s="493">
        <v>0</v>
      </c>
    </row>
    <row r="263" spans="1:39" hidden="1">
      <c r="B263" s="2"/>
      <c r="E263" s="2"/>
      <c r="H263" s="2" t="s">
        <v>482</v>
      </c>
      <c r="J263" s="27">
        <v>15</v>
      </c>
      <c r="K263" s="493"/>
      <c r="M263" s="493"/>
      <c r="O263" s="493"/>
      <c r="Q263" s="496"/>
      <c r="S263" s="494"/>
      <c r="U263" s="493"/>
      <c r="W263" s="495"/>
      <c r="Y263" s="493"/>
      <c r="AA263" s="493"/>
      <c r="AC263" s="493"/>
      <c r="AE263" s="493"/>
      <c r="AG263" s="493"/>
      <c r="AI263" s="493"/>
      <c r="AK263" s="493"/>
      <c r="AM263" s="493">
        <v>0</v>
      </c>
    </row>
    <row r="264" spans="1:39" hidden="1">
      <c r="B264" s="2"/>
      <c r="E264" s="2"/>
      <c r="H264" s="2" t="s">
        <v>483</v>
      </c>
      <c r="J264" s="121">
        <v>16</v>
      </c>
      <c r="K264" s="493"/>
      <c r="M264" s="496"/>
      <c r="O264" s="493"/>
      <c r="Q264" s="496"/>
      <c r="S264" s="494"/>
      <c r="U264" s="493"/>
      <c r="W264" s="495"/>
      <c r="Y264" s="493"/>
      <c r="AA264" s="493"/>
      <c r="AC264" s="493"/>
      <c r="AE264" s="493"/>
      <c r="AG264" s="493"/>
      <c r="AI264" s="493"/>
      <c r="AK264" s="493"/>
      <c r="AM264" s="493">
        <v>0</v>
      </c>
    </row>
    <row r="265" spans="1:39" hidden="1">
      <c r="B265" s="7"/>
      <c r="E265" s="7"/>
      <c r="H265" s="7" t="s">
        <v>456</v>
      </c>
      <c r="J265" s="27">
        <v>17</v>
      </c>
      <c r="K265" s="493"/>
      <c r="M265" s="493"/>
      <c r="O265" s="493"/>
      <c r="Q265" s="493"/>
      <c r="S265" s="494"/>
      <c r="U265" s="493"/>
      <c r="W265" s="495"/>
      <c r="Y265" s="493"/>
      <c r="AA265" s="493"/>
      <c r="AC265" s="493"/>
      <c r="AE265" s="493"/>
      <c r="AG265" s="493"/>
      <c r="AI265" s="493"/>
      <c r="AK265" s="493"/>
      <c r="AM265" s="493">
        <v>0</v>
      </c>
    </row>
    <row r="266" spans="1:39" hidden="1">
      <c r="E266" s="7"/>
      <c r="H266" s="7" t="s">
        <v>165</v>
      </c>
      <c r="J266" s="121">
        <v>18</v>
      </c>
      <c r="K266" s="68"/>
      <c r="M266" s="68"/>
      <c r="O266" s="68"/>
      <c r="Q266" s="68"/>
      <c r="S266" s="500"/>
      <c r="U266" s="68"/>
      <c r="W266" s="501"/>
      <c r="Y266" s="68"/>
      <c r="AA266" s="68"/>
      <c r="AC266" s="68"/>
      <c r="AE266" s="68"/>
      <c r="AG266" s="68"/>
    </row>
    <row r="267" spans="1:39" hidden="1">
      <c r="B267" s="254"/>
      <c r="E267" s="7"/>
      <c r="H267" s="254" t="s">
        <v>162</v>
      </c>
      <c r="J267" s="121">
        <v>19</v>
      </c>
      <c r="K267" s="493"/>
      <c r="M267" s="493"/>
      <c r="O267" s="493"/>
      <c r="Q267" s="493"/>
      <c r="S267" s="494"/>
      <c r="U267" s="493"/>
      <c r="W267" s="495"/>
      <c r="Y267" s="493"/>
      <c r="AA267" s="493"/>
      <c r="AC267" s="493"/>
      <c r="AE267" s="493"/>
      <c r="AG267" s="493"/>
      <c r="AI267" s="493"/>
      <c r="AK267" s="493"/>
      <c r="AM267" s="493">
        <v>0</v>
      </c>
    </row>
    <row r="268" spans="1:39" hidden="1">
      <c r="B268" s="254"/>
      <c r="E268" s="7"/>
      <c r="H268" s="254" t="s">
        <v>163</v>
      </c>
      <c r="J268" s="121">
        <v>20</v>
      </c>
      <c r="K268" s="493"/>
      <c r="M268" s="493"/>
      <c r="O268" s="493"/>
      <c r="Q268" s="493"/>
      <c r="S268" s="494"/>
      <c r="U268" s="493"/>
      <c r="W268" s="495"/>
      <c r="Y268" s="493"/>
      <c r="AA268" s="493"/>
      <c r="AC268" s="493"/>
      <c r="AE268" s="493"/>
      <c r="AG268" s="493"/>
      <c r="AI268" s="493"/>
      <c r="AK268" s="493"/>
      <c r="AM268" s="493">
        <v>0</v>
      </c>
    </row>
    <row r="269" spans="1:39" hidden="1">
      <c r="B269" s="254"/>
      <c r="E269" s="7"/>
      <c r="H269" s="254" t="s">
        <v>164</v>
      </c>
      <c r="J269" s="121">
        <v>21</v>
      </c>
      <c r="K269" s="493"/>
      <c r="M269" s="493"/>
      <c r="O269" s="493"/>
      <c r="Q269" s="493"/>
      <c r="S269" s="494"/>
      <c r="U269" s="493"/>
      <c r="W269" s="495"/>
      <c r="Y269" s="493"/>
      <c r="AA269" s="493"/>
      <c r="AC269" s="493"/>
      <c r="AE269" s="493"/>
      <c r="AG269" s="493"/>
      <c r="AI269" s="493"/>
      <c r="AK269" s="493"/>
      <c r="AM269" s="493">
        <v>0</v>
      </c>
    </row>
    <row r="270" spans="1:39" hidden="1">
      <c r="B270" s="254"/>
      <c r="E270" s="7"/>
      <c r="H270" s="254" t="s">
        <v>167</v>
      </c>
      <c r="J270" s="121">
        <v>22</v>
      </c>
      <c r="K270" s="493"/>
      <c r="M270" s="493"/>
      <c r="O270" s="493"/>
      <c r="Q270" s="493"/>
      <c r="S270" s="494"/>
      <c r="U270" s="493"/>
      <c r="W270" s="495"/>
      <c r="Y270" s="493"/>
      <c r="AA270" s="493"/>
      <c r="AC270" s="493"/>
      <c r="AE270" s="493"/>
      <c r="AG270" s="493"/>
      <c r="AI270" s="493"/>
      <c r="AK270" s="493"/>
      <c r="AM270" s="493">
        <v>0</v>
      </c>
    </row>
    <row r="271" spans="1:39" hidden="1">
      <c r="B271" s="2"/>
      <c r="E271" s="254"/>
      <c r="H271" s="2" t="s">
        <v>509</v>
      </c>
      <c r="J271" s="27">
        <v>23</v>
      </c>
      <c r="K271" s="497">
        <f>SUM(K261:K270)</f>
        <v>0</v>
      </c>
      <c r="M271" s="497">
        <f>SUM(M261:M270)</f>
        <v>0</v>
      </c>
      <c r="O271" s="497">
        <f>SUM(O261:O270)</f>
        <v>0</v>
      </c>
      <c r="Q271" s="497"/>
      <c r="S271" s="498"/>
      <c r="U271" s="497"/>
      <c r="W271" s="499"/>
      <c r="Y271" s="497"/>
      <c r="AA271" s="497"/>
      <c r="AC271" s="497"/>
      <c r="AE271" s="497"/>
      <c r="AG271" s="497"/>
      <c r="AI271" s="497"/>
      <c r="AK271" s="497">
        <f>SUM(AK261:AK270)</f>
        <v>0</v>
      </c>
      <c r="AM271" s="497">
        <f>SUM(AM261:AM270)</f>
        <v>0</v>
      </c>
    </row>
    <row r="272" spans="1:39" hidden="1">
      <c r="E272" s="254"/>
      <c r="H272" s="6"/>
      <c r="J272" s="121">
        <v>24</v>
      </c>
      <c r="K272" s="68"/>
      <c r="M272" s="68"/>
      <c r="O272" s="68"/>
      <c r="Q272" s="68"/>
      <c r="S272" s="500"/>
      <c r="U272" s="68"/>
      <c r="W272" s="501"/>
      <c r="Y272" s="68"/>
      <c r="AA272" s="68"/>
      <c r="AC272" s="68"/>
      <c r="AE272" s="68"/>
      <c r="AG272" s="68"/>
    </row>
    <row r="273" spans="2:39" hidden="1">
      <c r="B273" s="7"/>
      <c r="E273" s="7"/>
      <c r="H273" s="7" t="s">
        <v>510</v>
      </c>
      <c r="J273" s="27">
        <v>25</v>
      </c>
      <c r="K273" s="68"/>
      <c r="M273" s="68"/>
      <c r="O273" s="68"/>
      <c r="Q273" s="68"/>
      <c r="S273" s="500"/>
      <c r="U273" s="68"/>
      <c r="W273" s="501"/>
      <c r="Y273" s="68"/>
      <c r="AA273" s="68"/>
      <c r="AC273" s="68"/>
      <c r="AE273" s="68"/>
      <c r="AG273" s="68"/>
    </row>
    <row r="274" spans="2:39" hidden="1">
      <c r="B274" s="2"/>
      <c r="E274" s="2"/>
      <c r="H274" s="2" t="s">
        <v>480</v>
      </c>
      <c r="J274" s="121">
        <v>26</v>
      </c>
      <c r="K274" s="493"/>
      <c r="M274" s="493"/>
      <c r="O274" s="493"/>
      <c r="Q274" s="496"/>
      <c r="S274" s="494"/>
      <c r="U274" s="493"/>
      <c r="W274" s="495"/>
      <c r="Y274" s="493"/>
      <c r="AA274" s="493"/>
      <c r="AC274" s="493"/>
      <c r="AE274" s="493"/>
      <c r="AG274" s="493"/>
      <c r="AI274" s="493"/>
      <c r="AK274" s="493"/>
      <c r="AM274" s="493">
        <v>0</v>
      </c>
    </row>
    <row r="275" spans="2:39" hidden="1">
      <c r="B275" s="2"/>
      <c r="E275" s="2"/>
      <c r="H275" s="2" t="s">
        <v>481</v>
      </c>
      <c r="J275" s="27">
        <v>27</v>
      </c>
      <c r="K275" s="493"/>
      <c r="M275" s="493"/>
      <c r="O275" s="493"/>
      <c r="Q275" s="496"/>
      <c r="S275" s="494"/>
      <c r="U275" s="493"/>
      <c r="W275" s="495"/>
      <c r="Y275" s="493"/>
      <c r="AA275" s="493"/>
      <c r="AC275" s="493"/>
      <c r="AE275" s="493"/>
      <c r="AG275" s="493"/>
      <c r="AI275" s="493"/>
      <c r="AK275" s="493">
        <v>0</v>
      </c>
      <c r="AM275" s="493">
        <v>0</v>
      </c>
    </row>
    <row r="276" spans="2:39" hidden="1">
      <c r="B276" s="2"/>
      <c r="E276" s="2"/>
      <c r="H276" s="2" t="s">
        <v>482</v>
      </c>
      <c r="J276" s="121">
        <v>28</v>
      </c>
      <c r="K276" s="493"/>
      <c r="M276" s="493"/>
      <c r="O276" s="493"/>
      <c r="Q276" s="496"/>
      <c r="S276" s="494"/>
      <c r="U276" s="493"/>
      <c r="W276" s="495"/>
      <c r="Y276" s="493"/>
      <c r="AA276" s="493"/>
      <c r="AC276" s="493"/>
      <c r="AE276" s="493"/>
      <c r="AG276" s="493"/>
      <c r="AI276" s="493"/>
      <c r="AK276" s="493"/>
      <c r="AM276" s="493">
        <v>0</v>
      </c>
    </row>
    <row r="277" spans="2:39" hidden="1">
      <c r="B277" s="2"/>
      <c r="E277" s="2"/>
      <c r="H277" s="2" t="s">
        <v>483</v>
      </c>
      <c r="J277" s="27">
        <v>29</v>
      </c>
      <c r="K277" s="493"/>
      <c r="M277" s="493"/>
      <c r="O277" s="493"/>
      <c r="Q277" s="496"/>
      <c r="S277" s="494"/>
      <c r="U277" s="493"/>
      <c r="W277" s="495"/>
      <c r="Y277" s="493"/>
      <c r="AA277" s="493"/>
      <c r="AC277" s="493"/>
      <c r="AE277" s="493"/>
      <c r="AG277" s="493"/>
      <c r="AI277" s="493"/>
      <c r="AK277" s="493"/>
      <c r="AM277" s="493">
        <v>0</v>
      </c>
    </row>
    <row r="278" spans="2:39" hidden="1">
      <c r="B278" s="7"/>
      <c r="E278" s="7"/>
      <c r="H278" s="7" t="s">
        <v>456</v>
      </c>
      <c r="J278" s="121">
        <v>30</v>
      </c>
      <c r="K278" s="493"/>
      <c r="M278" s="493"/>
      <c r="O278" s="493"/>
      <c r="Q278" s="493"/>
      <c r="S278" s="494"/>
      <c r="U278" s="493"/>
      <c r="W278" s="495"/>
      <c r="Y278" s="493"/>
      <c r="AA278" s="493"/>
      <c r="AC278" s="493"/>
      <c r="AE278" s="493"/>
      <c r="AG278" s="493"/>
      <c r="AI278" s="493"/>
      <c r="AK278" s="493"/>
      <c r="AM278" s="493">
        <v>0</v>
      </c>
    </row>
    <row r="279" spans="2:39" hidden="1">
      <c r="E279" s="7"/>
      <c r="H279" s="7" t="s">
        <v>165</v>
      </c>
      <c r="J279" s="27">
        <v>31</v>
      </c>
      <c r="K279" s="68"/>
      <c r="M279" s="68"/>
      <c r="O279" s="68"/>
      <c r="Q279" s="68"/>
      <c r="S279" s="500"/>
      <c r="U279" s="68"/>
      <c r="W279" s="501"/>
      <c r="Y279" s="68"/>
      <c r="AA279" s="68"/>
      <c r="AC279" s="68"/>
      <c r="AE279" s="68"/>
      <c r="AG279" s="68"/>
    </row>
    <row r="280" spans="2:39" hidden="1">
      <c r="B280" s="254"/>
      <c r="E280" s="7"/>
      <c r="H280" s="254" t="s">
        <v>162</v>
      </c>
      <c r="J280" s="121">
        <v>32</v>
      </c>
      <c r="K280" s="493"/>
      <c r="M280" s="493"/>
      <c r="O280" s="493"/>
      <c r="Q280" s="493"/>
      <c r="S280" s="494"/>
      <c r="U280" s="493"/>
      <c r="W280" s="495"/>
      <c r="Y280" s="493"/>
      <c r="AA280" s="493"/>
      <c r="AC280" s="493"/>
      <c r="AE280" s="493"/>
      <c r="AG280" s="493"/>
      <c r="AI280" s="493"/>
      <c r="AK280" s="493"/>
      <c r="AM280" s="493">
        <v>0</v>
      </c>
    </row>
    <row r="281" spans="2:39" hidden="1">
      <c r="B281" s="254"/>
      <c r="E281" s="7"/>
      <c r="H281" s="254" t="s">
        <v>163</v>
      </c>
      <c r="J281" s="121">
        <v>33</v>
      </c>
      <c r="K281" s="493"/>
      <c r="M281" s="493"/>
      <c r="O281" s="493"/>
      <c r="Q281" s="493"/>
      <c r="S281" s="494"/>
      <c r="U281" s="493"/>
      <c r="W281" s="495"/>
      <c r="Y281" s="493"/>
      <c r="AA281" s="493"/>
      <c r="AC281" s="493"/>
      <c r="AE281" s="493"/>
      <c r="AG281" s="493"/>
      <c r="AI281" s="493"/>
      <c r="AK281" s="493"/>
      <c r="AM281" s="493">
        <v>0</v>
      </c>
    </row>
    <row r="282" spans="2:39" hidden="1">
      <c r="B282" s="254"/>
      <c r="E282" s="7"/>
      <c r="H282" s="254" t="s">
        <v>164</v>
      </c>
      <c r="J282" s="121">
        <v>34</v>
      </c>
      <c r="K282" s="493"/>
      <c r="M282" s="493"/>
      <c r="O282" s="493"/>
      <c r="Q282" s="493"/>
      <c r="S282" s="494"/>
      <c r="U282" s="493"/>
      <c r="W282" s="495"/>
      <c r="Y282" s="493"/>
      <c r="AA282" s="493"/>
      <c r="AC282" s="493"/>
      <c r="AE282" s="493"/>
      <c r="AG282" s="493"/>
      <c r="AI282" s="493"/>
      <c r="AK282" s="493"/>
      <c r="AM282" s="493">
        <v>0</v>
      </c>
    </row>
    <row r="283" spans="2:39" hidden="1">
      <c r="B283" s="254"/>
      <c r="E283" s="7"/>
      <c r="H283" s="254" t="s">
        <v>167</v>
      </c>
      <c r="J283" s="121">
        <v>35</v>
      </c>
      <c r="K283" s="493"/>
      <c r="M283" s="493"/>
      <c r="O283" s="493"/>
      <c r="Q283" s="493"/>
      <c r="S283" s="494"/>
      <c r="U283" s="493"/>
      <c r="W283" s="495"/>
      <c r="Y283" s="493"/>
      <c r="AA283" s="493"/>
      <c r="AC283" s="493"/>
      <c r="AE283" s="493"/>
      <c r="AG283" s="493"/>
      <c r="AI283" s="493"/>
      <c r="AK283" s="493"/>
      <c r="AM283" s="493">
        <v>0</v>
      </c>
    </row>
    <row r="284" spans="2:39" hidden="1">
      <c r="C284" s="2"/>
      <c r="E284" s="254"/>
      <c r="H284" s="2" t="s">
        <v>142</v>
      </c>
      <c r="J284" s="121">
        <v>36</v>
      </c>
      <c r="K284" s="497">
        <f>SUM(K274:K283)</f>
        <v>0</v>
      </c>
      <c r="M284" s="497">
        <f>SUM(M274:M283)</f>
        <v>0</v>
      </c>
      <c r="O284" s="497">
        <f>SUM(O274:O283)</f>
        <v>0</v>
      </c>
      <c r="Q284" s="497"/>
      <c r="S284" s="498"/>
      <c r="U284" s="497"/>
      <c r="W284" s="499"/>
      <c r="Y284" s="497"/>
      <c r="AA284" s="497"/>
      <c r="AC284" s="497"/>
      <c r="AE284" s="497"/>
      <c r="AG284" s="497"/>
      <c r="AI284" s="497"/>
      <c r="AK284" s="497">
        <f>SUM(AK274:AK283)</f>
        <v>0</v>
      </c>
      <c r="AM284" s="497">
        <f>SUM(AM274:AM283)</f>
        <v>0</v>
      </c>
    </row>
    <row r="285" spans="2:39" hidden="1">
      <c r="E285" s="254"/>
      <c r="H285" s="2" t="s">
        <v>143</v>
      </c>
      <c r="J285" s="27">
        <v>37</v>
      </c>
      <c r="K285" s="68"/>
      <c r="M285" s="68"/>
      <c r="O285" s="68"/>
      <c r="Q285" s="68"/>
      <c r="S285" s="500"/>
      <c r="U285" s="68"/>
      <c r="W285" s="501"/>
      <c r="Y285" s="68"/>
      <c r="AA285" s="68"/>
      <c r="AC285" s="68"/>
      <c r="AE285" s="68"/>
      <c r="AG285" s="68"/>
    </row>
    <row r="286" spans="2:39" hidden="1">
      <c r="B286" s="2"/>
      <c r="E286" s="254"/>
      <c r="H286" s="2" t="s">
        <v>144</v>
      </c>
      <c r="J286" s="121">
        <v>38</v>
      </c>
      <c r="K286" s="507">
        <f>K271-K284</f>
        <v>0</v>
      </c>
      <c r="M286" s="507">
        <f>M271-M284</f>
        <v>0</v>
      </c>
      <c r="O286" s="507">
        <f>O271-O284</f>
        <v>0</v>
      </c>
      <c r="Q286" s="507"/>
      <c r="S286" s="508"/>
      <c r="U286" s="507"/>
      <c r="W286" s="509"/>
      <c r="Y286" s="507"/>
      <c r="AA286" s="507"/>
      <c r="AC286" s="507"/>
      <c r="AE286" s="507"/>
      <c r="AG286" s="507"/>
      <c r="AI286" s="507"/>
      <c r="AK286" s="507">
        <f>AK271-AK284</f>
        <v>0</v>
      </c>
      <c r="AM286" s="507">
        <f>AM271-AM284</f>
        <v>0</v>
      </c>
    </row>
    <row r="287" spans="2:39" hidden="1">
      <c r="B287" s="2"/>
      <c r="H287" s="2"/>
      <c r="J287" s="27">
        <v>39</v>
      </c>
      <c r="K287" s="68"/>
      <c r="M287" s="68"/>
      <c r="O287" s="68"/>
      <c r="Q287" s="68"/>
      <c r="S287" s="500"/>
      <c r="U287" s="68"/>
      <c r="W287" s="501"/>
      <c r="Y287" s="68"/>
      <c r="AA287" s="68"/>
      <c r="AC287" s="68"/>
      <c r="AE287" s="68"/>
      <c r="AG287" s="68"/>
    </row>
    <row r="288" spans="2:39" ht="13.5" hidden="1" thickBot="1">
      <c r="B288" s="2"/>
      <c r="H288" s="2" t="s">
        <v>145</v>
      </c>
      <c r="J288" s="121">
        <v>40</v>
      </c>
      <c r="K288" s="513">
        <f>K257+K286</f>
        <v>0</v>
      </c>
      <c r="M288" s="513">
        <f>M257+M286</f>
        <v>0</v>
      </c>
      <c r="O288" s="513">
        <f>O257+O286</f>
        <v>0</v>
      </c>
      <c r="Q288" s="513"/>
      <c r="S288" s="514"/>
      <c r="U288" s="513"/>
      <c r="W288" s="515"/>
      <c r="Y288" s="513"/>
      <c r="AA288" s="513"/>
      <c r="AC288" s="513"/>
      <c r="AE288" s="513"/>
      <c r="AG288" s="513"/>
      <c r="AI288" s="513"/>
      <c r="AK288" s="513">
        <f>AK257+AK286</f>
        <v>0</v>
      </c>
      <c r="AM288" s="513">
        <f>AM257+AM286</f>
        <v>0</v>
      </c>
    </row>
    <row r="289" spans="2:39">
      <c r="S289" s="488"/>
      <c r="W289" s="492"/>
    </row>
    <row r="290" spans="2:39">
      <c r="H290" s="532" t="s">
        <v>938</v>
      </c>
      <c r="S290" s="488"/>
      <c r="W290" s="492"/>
    </row>
    <row r="291" spans="2:39" hidden="1">
      <c r="H291" s="26" t="s">
        <v>413</v>
      </c>
      <c r="S291" s="488"/>
      <c r="W291" s="492"/>
    </row>
    <row r="292" spans="2:39" ht="38.25" hidden="1">
      <c r="E292" s="254"/>
      <c r="J292" s="27">
        <v>1</v>
      </c>
      <c r="K292" s="535" t="str">
        <f>K32</f>
        <v>Danville Science Center, Inc.</v>
      </c>
      <c r="M292" s="535" t="str">
        <f>M32</f>
        <v>Library of Virginia Foundation</v>
      </c>
      <c r="O292" s="318" t="str">
        <f>O32</f>
        <v>Science Museum of Virginia Foundation, Inc.</v>
      </c>
      <c r="Q292" s="318"/>
      <c r="S292" s="354"/>
      <c r="U292" s="318"/>
      <c r="W292" s="355"/>
      <c r="Y292" s="318"/>
      <c r="AA292" s="318"/>
      <c r="AC292" s="318"/>
      <c r="AE292" s="318"/>
      <c r="AG292" s="295"/>
      <c r="AI292" s="318"/>
      <c r="AK292" s="318" t="str">
        <f>AK32</f>
        <v>Virginia Museum of Fine Arts Foundation</v>
      </c>
      <c r="AM292" s="250" t="s">
        <v>417</v>
      </c>
    </row>
    <row r="293" spans="2:39" hidden="1">
      <c r="E293" s="2"/>
      <c r="J293" s="121">
        <v>2</v>
      </c>
      <c r="K293" s="68"/>
      <c r="M293" s="68"/>
      <c r="O293" s="68"/>
      <c r="Q293" s="68"/>
      <c r="S293" s="500"/>
      <c r="U293" s="68"/>
      <c r="W293" s="501"/>
      <c r="Y293" s="68"/>
      <c r="AA293" s="68"/>
      <c r="AC293" s="68"/>
      <c r="AE293" s="68"/>
      <c r="AG293" s="68"/>
    </row>
    <row r="294" spans="2:39" hidden="1">
      <c r="B294" s="50"/>
      <c r="E294" s="2"/>
      <c r="H294" s="3" t="s">
        <v>170</v>
      </c>
      <c r="J294" s="27">
        <v>3</v>
      </c>
      <c r="K294" s="493"/>
      <c r="M294" s="493"/>
      <c r="O294" s="493"/>
      <c r="Q294" s="493"/>
      <c r="S294" s="494"/>
      <c r="U294" s="493"/>
      <c r="W294" s="495"/>
      <c r="Y294" s="493"/>
      <c r="AA294" s="493"/>
      <c r="AC294" s="493"/>
      <c r="AE294" s="493"/>
      <c r="AG294" s="493"/>
      <c r="AI294" s="493"/>
      <c r="AK294" s="493"/>
      <c r="AM294" s="493">
        <v>0</v>
      </c>
    </row>
    <row r="295" spans="2:39" hidden="1">
      <c r="B295" s="50"/>
      <c r="E295" s="2"/>
      <c r="H295" s="4" t="s">
        <v>171</v>
      </c>
      <c r="J295" s="27">
        <v>4</v>
      </c>
      <c r="K295" s="493"/>
      <c r="M295" s="493"/>
      <c r="O295" s="493"/>
      <c r="Q295" s="493"/>
      <c r="S295" s="494"/>
      <c r="U295" s="493"/>
      <c r="W295" s="495"/>
      <c r="Y295" s="493"/>
      <c r="AA295" s="493"/>
      <c r="AC295" s="493"/>
      <c r="AE295" s="493"/>
      <c r="AG295" s="493"/>
      <c r="AI295" s="493"/>
      <c r="AK295" s="493"/>
      <c r="AM295" s="493">
        <v>0</v>
      </c>
    </row>
    <row r="296" spans="2:39" hidden="1">
      <c r="B296" s="50"/>
      <c r="E296" s="2"/>
      <c r="H296" s="4" t="s">
        <v>172</v>
      </c>
      <c r="J296" s="121">
        <v>5</v>
      </c>
      <c r="K296" s="493"/>
      <c r="M296" s="493"/>
      <c r="O296" s="493"/>
      <c r="Q296" s="493"/>
      <c r="S296" s="494"/>
      <c r="U296" s="493"/>
      <c r="W296" s="495"/>
      <c r="Y296" s="493"/>
      <c r="AA296" s="493"/>
      <c r="AC296" s="493"/>
      <c r="AE296" s="493"/>
      <c r="AG296" s="493"/>
      <c r="AI296" s="493"/>
      <c r="AK296" s="493"/>
      <c r="AM296" s="493">
        <v>0</v>
      </c>
    </row>
    <row r="297" spans="2:39" hidden="1">
      <c r="B297" s="50"/>
      <c r="E297" s="2"/>
      <c r="H297" s="3" t="s">
        <v>173</v>
      </c>
      <c r="J297" s="27">
        <v>6</v>
      </c>
      <c r="K297" s="493">
        <v>0</v>
      </c>
      <c r="M297" s="493">
        <v>0</v>
      </c>
      <c r="O297" s="493"/>
      <c r="Q297" s="493"/>
      <c r="S297" s="494"/>
      <c r="U297" s="493"/>
      <c r="W297" s="495"/>
      <c r="Y297" s="493"/>
      <c r="AA297" s="493"/>
      <c r="AC297" s="493"/>
      <c r="AE297" s="493"/>
      <c r="AG297" s="493"/>
      <c r="AI297" s="493"/>
      <c r="AK297" s="493"/>
      <c r="AM297" s="493">
        <v>0</v>
      </c>
    </row>
    <row r="298" spans="2:39" hidden="1">
      <c r="B298" s="50"/>
      <c r="H298" s="3" t="s">
        <v>79</v>
      </c>
      <c r="J298" s="27">
        <v>7</v>
      </c>
      <c r="K298" s="493"/>
      <c r="M298" s="493"/>
      <c r="O298" s="493"/>
      <c r="Q298" s="493"/>
      <c r="S298" s="494"/>
      <c r="U298" s="493"/>
      <c r="W298" s="495"/>
      <c r="Y298" s="493"/>
      <c r="AA298" s="493"/>
      <c r="AC298" s="493"/>
      <c r="AE298" s="493"/>
      <c r="AG298" s="493"/>
      <c r="AI298" s="493"/>
      <c r="AK298" s="493"/>
      <c r="AM298" s="493">
        <v>0</v>
      </c>
    </row>
    <row r="299" spans="2:39" hidden="1">
      <c r="B299" s="50"/>
      <c r="H299" s="3" t="s">
        <v>174</v>
      </c>
      <c r="J299" s="121">
        <v>8</v>
      </c>
      <c r="K299" s="493"/>
      <c r="M299" s="493"/>
      <c r="O299" s="493"/>
      <c r="Q299" s="493"/>
      <c r="S299" s="494"/>
      <c r="U299" s="493"/>
      <c r="W299" s="495"/>
      <c r="Y299" s="493"/>
      <c r="AA299" s="493"/>
      <c r="AC299" s="493"/>
      <c r="AE299" s="493"/>
      <c r="AG299" s="493"/>
      <c r="AI299" s="493"/>
      <c r="AK299" s="493"/>
      <c r="AM299" s="493">
        <v>0</v>
      </c>
    </row>
    <row r="300" spans="2:39" hidden="1">
      <c r="B300" s="55"/>
      <c r="H300" s="55" t="s">
        <v>427</v>
      </c>
      <c r="J300" s="27">
        <v>9</v>
      </c>
      <c r="K300" s="493"/>
      <c r="M300" s="493"/>
      <c r="O300" s="493"/>
      <c r="Q300" s="493"/>
      <c r="S300" s="494"/>
      <c r="U300" s="493"/>
      <c r="W300" s="495"/>
      <c r="Y300" s="493"/>
      <c r="AA300" s="493"/>
      <c r="AC300" s="493"/>
      <c r="AE300" s="493"/>
      <c r="AG300" s="493"/>
      <c r="AI300" s="493"/>
      <c r="AK300" s="493"/>
      <c r="AM300" s="493">
        <v>0</v>
      </c>
    </row>
    <row r="301" spans="2:39" hidden="1">
      <c r="B301" s="50"/>
      <c r="H301" s="3" t="s">
        <v>397</v>
      </c>
      <c r="J301" s="27">
        <v>11</v>
      </c>
      <c r="K301" s="493"/>
      <c r="M301" s="493"/>
      <c r="O301" s="493"/>
      <c r="Q301" s="493"/>
      <c r="S301" s="494"/>
      <c r="U301" s="493"/>
      <c r="W301" s="495"/>
      <c r="Y301" s="493"/>
      <c r="AA301" s="493"/>
      <c r="AC301" s="493"/>
      <c r="AE301" s="493"/>
      <c r="AG301" s="493"/>
      <c r="AI301" s="493"/>
      <c r="AK301" s="493"/>
      <c r="AM301" s="493">
        <v>0</v>
      </c>
    </row>
    <row r="302" spans="2:39" hidden="1">
      <c r="B302" s="3"/>
      <c r="H302" s="3" t="s">
        <v>442</v>
      </c>
      <c r="J302" s="121">
        <v>12</v>
      </c>
      <c r="K302" s="493"/>
      <c r="M302" s="493"/>
      <c r="O302" s="493"/>
      <c r="Q302" s="493"/>
      <c r="S302" s="494"/>
      <c r="U302" s="493"/>
      <c r="W302" s="495"/>
      <c r="Y302" s="493"/>
      <c r="AA302" s="493"/>
      <c r="AC302" s="493"/>
      <c r="AE302" s="493"/>
      <c r="AG302" s="493"/>
      <c r="AI302" s="493"/>
      <c r="AK302" s="493"/>
      <c r="AM302" s="493">
        <v>0</v>
      </c>
    </row>
    <row r="303" spans="2:39" hidden="1">
      <c r="B303" s="50"/>
      <c r="H303" s="1" t="s">
        <v>848</v>
      </c>
      <c r="J303" s="121">
        <v>13</v>
      </c>
      <c r="K303" s="493"/>
      <c r="M303" s="493"/>
      <c r="O303" s="493"/>
      <c r="Q303" s="493"/>
      <c r="S303" s="494"/>
      <c r="U303" s="493"/>
      <c r="W303" s="495"/>
      <c r="Y303" s="496"/>
      <c r="AA303" s="493"/>
      <c r="AC303" s="493"/>
      <c r="AE303" s="493"/>
      <c r="AG303" s="493"/>
      <c r="AI303" s="493"/>
      <c r="AK303" s="493"/>
      <c r="AM303" s="493">
        <v>0</v>
      </c>
    </row>
    <row r="304" spans="2:39" hidden="1">
      <c r="B304" s="50"/>
      <c r="H304" s="1" t="s">
        <v>848</v>
      </c>
      <c r="J304" s="27">
        <v>14</v>
      </c>
      <c r="K304" s="493"/>
      <c r="M304" s="493"/>
      <c r="O304" s="493"/>
      <c r="Q304" s="493"/>
      <c r="S304" s="494"/>
      <c r="U304" s="493"/>
      <c r="W304" s="495"/>
      <c r="Y304" s="496"/>
      <c r="AA304" s="493"/>
      <c r="AC304" s="493"/>
      <c r="AE304" s="493"/>
      <c r="AG304" s="493"/>
      <c r="AI304" s="493"/>
      <c r="AK304" s="493"/>
      <c r="AM304" s="493">
        <v>0</v>
      </c>
    </row>
    <row r="305" spans="1:42" hidden="1">
      <c r="B305" s="50"/>
      <c r="H305" s="1" t="s">
        <v>848</v>
      </c>
      <c r="J305" s="121">
        <v>15</v>
      </c>
      <c r="K305" s="493"/>
      <c r="M305" s="493"/>
      <c r="O305" s="493"/>
      <c r="Q305" s="493"/>
      <c r="S305" s="494"/>
      <c r="U305" s="493"/>
      <c r="W305" s="495"/>
      <c r="Y305" s="496"/>
      <c r="AA305" s="493"/>
      <c r="AC305" s="493"/>
      <c r="AE305" s="493"/>
      <c r="AG305" s="493"/>
      <c r="AI305" s="493"/>
      <c r="AK305" s="493"/>
      <c r="AM305" s="493">
        <v>0</v>
      </c>
    </row>
    <row r="306" spans="1:42" hidden="1">
      <c r="B306" s="50"/>
      <c r="H306" s="1" t="s">
        <v>848</v>
      </c>
      <c r="J306" s="121">
        <v>16</v>
      </c>
      <c r="K306" s="493"/>
      <c r="M306" s="493"/>
      <c r="O306" s="493"/>
      <c r="Q306" s="493"/>
      <c r="S306" s="494"/>
      <c r="U306" s="493"/>
      <c r="W306" s="495"/>
      <c r="Y306" s="496"/>
      <c r="AA306" s="493"/>
      <c r="AC306" s="493"/>
      <c r="AE306" s="493"/>
      <c r="AG306" s="493"/>
      <c r="AI306" s="493"/>
      <c r="AK306" s="493"/>
      <c r="AM306" s="493">
        <v>0</v>
      </c>
    </row>
    <row r="307" spans="1:42" ht="13.5" hidden="1" thickBot="1">
      <c r="E307" s="516"/>
      <c r="F307" s="516"/>
      <c r="G307" s="516"/>
      <c r="H307" s="396" t="s">
        <v>80</v>
      </c>
      <c r="J307" s="121">
        <v>17</v>
      </c>
      <c r="K307" s="503">
        <f>SUM(K294:K306)</f>
        <v>0</v>
      </c>
      <c r="M307" s="503">
        <f>SUM(M294:M306)</f>
        <v>0</v>
      </c>
      <c r="O307" s="503">
        <f>SUM(O294:O306)</f>
        <v>0</v>
      </c>
      <c r="Q307" s="503"/>
      <c r="S307" s="504"/>
      <c r="U307" s="503"/>
      <c r="W307" s="505"/>
      <c r="Y307" s="503"/>
      <c r="AA307" s="503"/>
      <c r="AC307" s="503"/>
      <c r="AE307" s="503"/>
      <c r="AG307" s="503"/>
      <c r="AI307" s="503"/>
      <c r="AK307" s="503">
        <f>SUM(AK294:AK306)</f>
        <v>0</v>
      </c>
      <c r="AM307" s="503">
        <f>SUM(AM294:AM306)</f>
        <v>0</v>
      </c>
    </row>
    <row r="308" spans="1:42">
      <c r="C308" s="27" t="s">
        <v>384</v>
      </c>
      <c r="E308" s="516"/>
      <c r="F308" s="516"/>
      <c r="G308" s="516"/>
      <c r="H308" s="516"/>
    </row>
    <row r="309" spans="1:42" ht="57" customHeight="1">
      <c r="E309" s="590" t="s">
        <v>52</v>
      </c>
      <c r="F309" s="591"/>
      <c r="G309" s="591"/>
      <c r="H309" s="592"/>
      <c r="I309" s="583" t="s">
        <v>957</v>
      </c>
      <c r="J309" s="584"/>
      <c r="K309" s="584"/>
      <c r="L309" s="584"/>
      <c r="M309" s="584"/>
      <c r="N309" s="584"/>
      <c r="O309" s="584"/>
      <c r="P309" s="584"/>
      <c r="Q309" s="585"/>
      <c r="AI309" s="27"/>
      <c r="AK309" s="27"/>
      <c r="AM309" s="27"/>
    </row>
    <row r="310" spans="1:42" ht="50.25" customHeight="1">
      <c r="E310" s="590" t="s">
        <v>53</v>
      </c>
      <c r="F310" s="591"/>
      <c r="G310" s="591"/>
      <c r="H310" s="592"/>
      <c r="I310" s="583" t="s">
        <v>937</v>
      </c>
      <c r="J310" s="584"/>
      <c r="K310" s="584"/>
      <c r="L310" s="584"/>
      <c r="M310" s="584"/>
      <c r="N310" s="584"/>
      <c r="O310" s="584"/>
      <c r="P310" s="584"/>
      <c r="Q310" s="585"/>
      <c r="AI310" s="27"/>
      <c r="AK310" s="27"/>
      <c r="AM310" s="27"/>
    </row>
    <row r="311" spans="1:42" ht="49.5" customHeight="1">
      <c r="E311" s="590" t="s">
        <v>33</v>
      </c>
      <c r="F311" s="591"/>
      <c r="G311" s="591"/>
      <c r="H311" s="592"/>
      <c r="I311" s="586" t="s">
        <v>958</v>
      </c>
      <c r="J311" s="587"/>
      <c r="K311" s="587"/>
      <c r="L311" s="587"/>
      <c r="M311" s="587"/>
      <c r="N311" s="587"/>
      <c r="O311" s="587"/>
      <c r="P311" s="587"/>
      <c r="Q311" s="588"/>
      <c r="AI311" s="27"/>
      <c r="AK311" s="27"/>
      <c r="AM311" s="27"/>
    </row>
    <row r="312" spans="1:42" ht="113.25" customHeight="1">
      <c r="E312" s="590" t="s">
        <v>529</v>
      </c>
      <c r="F312" s="591"/>
      <c r="G312" s="591"/>
      <c r="H312" s="592"/>
      <c r="I312" s="586" t="s">
        <v>959</v>
      </c>
      <c r="J312" s="587"/>
      <c r="K312" s="587"/>
      <c r="L312" s="587"/>
      <c r="M312" s="587"/>
      <c r="N312" s="587"/>
      <c r="O312" s="587"/>
      <c r="P312" s="587"/>
      <c r="Q312" s="588"/>
      <c r="AI312" s="27"/>
      <c r="AK312" s="27"/>
      <c r="AM312" s="27"/>
    </row>
    <row r="313" spans="1:42">
      <c r="E313" s="26" t="s">
        <v>549</v>
      </c>
    </row>
    <row r="315" spans="1:42">
      <c r="A315" s="27" t="s">
        <v>64</v>
      </c>
      <c r="H315" s="26" t="s">
        <v>830</v>
      </c>
      <c r="I315" s="36" t="s">
        <v>101</v>
      </c>
    </row>
    <row r="316" spans="1:42">
      <c r="E316" s="593" t="s">
        <v>52</v>
      </c>
      <c r="F316" s="594"/>
      <c r="G316" s="594"/>
      <c r="H316" s="595"/>
      <c r="I316" s="38">
        <f>K245</f>
        <v>1939377</v>
      </c>
      <c r="AI316" s="27"/>
      <c r="AK316" s="27"/>
      <c r="AM316" s="27"/>
    </row>
    <row r="317" spans="1:42">
      <c r="E317" s="593" t="s">
        <v>53</v>
      </c>
      <c r="F317" s="594"/>
      <c r="G317" s="594"/>
      <c r="H317" s="595"/>
      <c r="I317" s="38">
        <f>M245</f>
        <v>5769664</v>
      </c>
      <c r="AI317" s="27"/>
      <c r="AK317" s="27"/>
      <c r="AM317" s="27"/>
    </row>
    <row r="318" spans="1:42" ht="28.5" customHeight="1">
      <c r="E318" s="593" t="s">
        <v>33</v>
      </c>
      <c r="F318" s="594"/>
      <c r="G318" s="594"/>
      <c r="H318" s="595"/>
      <c r="I318" s="38">
        <f>O245</f>
        <v>29862885</v>
      </c>
      <c r="AI318" s="27"/>
      <c r="AK318" s="27"/>
      <c r="AM318" s="27"/>
    </row>
    <row r="319" spans="1:42" ht="22.5" customHeight="1">
      <c r="E319" s="593" t="s">
        <v>529</v>
      </c>
      <c r="F319" s="594"/>
      <c r="G319" s="594"/>
      <c r="H319" s="595"/>
      <c r="I319" s="38">
        <f>AK245</f>
        <v>270953921</v>
      </c>
      <c r="AI319" s="27"/>
      <c r="AK319" s="27"/>
      <c r="AM319" s="27"/>
    </row>
    <row r="320" spans="1:42">
      <c r="I320" s="68">
        <f>SUM(I316:I319)</f>
        <v>308525847</v>
      </c>
      <c r="AI320" s="27"/>
      <c r="AK320" s="27"/>
      <c r="AM320" s="27"/>
      <c r="AP320" s="489"/>
    </row>
  </sheetData>
  <sheetProtection selectLockedCells="1"/>
  <customSheetViews>
    <customSheetView guid="{21549FED-0843-409C-B56D-2EB16B98EF5E}" scale="75" showPageBreaks="1" showGridLines="0" printArea="1" hiddenRows="1" hiddenColumns="1" state="hidden" view="pageBreakPreview" topLeftCell="A8">
      <pane xSplit="10" ySplit="25" topLeftCell="BL230" activePane="bottomRight" state="frozen"/>
      <selection pane="bottomRight" activeCell="BX241" sqref="BX241"/>
      <rowBreaks count="4" manualBreakCount="4">
        <brk id="114" max="75" man="1"/>
        <brk id="202" max="75" man="1"/>
        <brk id="288" max="75" man="1"/>
        <brk id="327" max="75" man="1"/>
      </rowBreaks>
      <pageMargins left="0.75" right="0.75" top="1" bottom="1" header="0.5" footer="0.5"/>
      <pageSetup paperSize="5" scale="34" orientation="landscape" r:id="rId1"/>
      <headerFooter alignWithMargins="0"/>
    </customSheetView>
    <customSheetView guid="{83B11BDE-9087-4120-8F71-87939A6C277C}" scale="75" showPageBreaks="1" showGridLines="0" printArea="1" hiddenRows="1" hiddenColumns="1" state="hidden" view="pageBreakPreview" topLeftCell="A8">
      <pane xSplit="10" ySplit="25" topLeftCell="AU249" activePane="bottomRight" state="frozen"/>
      <selection pane="bottomRight" activeCell="AV275" sqref="AV275"/>
      <rowBreaks count="4" manualBreakCount="4">
        <brk id="114" max="75" man="1"/>
        <brk id="202" max="75" man="1"/>
        <brk id="288" max="75" man="1"/>
        <brk id="327" max="75" man="1"/>
      </rowBreaks>
      <pageMargins left="0.75" right="0.75" top="1" bottom="1" header="0.5" footer="0.5"/>
      <pageSetup paperSize="5" scale="36" orientation="landscape" r:id="rId2"/>
      <headerFooter alignWithMargins="0"/>
    </customSheetView>
    <customSheetView guid="{5A69DEB5-9E8B-40C6-849E-49B804F6ED86}" scale="75" showPageBreaks="1" showGridLines="0" printArea="1" hiddenRows="1" hiddenColumns="1" state="hidden" view="pageBreakPreview" topLeftCell="A8">
      <pane xSplit="10" ySplit="25" topLeftCell="AU33" activePane="bottomRight" state="frozen"/>
      <selection pane="bottomRight" activeCell="AV53" sqref="AV53"/>
      <rowBreaks count="4" manualBreakCount="4">
        <brk id="114" max="75" man="1"/>
        <brk id="202" max="75" man="1"/>
        <brk id="288" max="75" man="1"/>
        <brk id="327" max="75" man="1"/>
      </rowBreaks>
      <pageMargins left="0.75" right="0.75" top="1" bottom="1" header="0.5" footer="0.5"/>
      <pageSetup paperSize="5" scale="36" orientation="landscape" r:id="rId3"/>
      <headerFooter alignWithMargins="0"/>
    </customSheetView>
    <customSheetView guid="{C3905544-E3E5-4318-8AA2-F7DE16A9B8E7}" scale="75" showPageBreaks="1" showGridLines="0" printArea="1" hiddenRows="1" hiddenColumns="1" view="pageBreakPreview" topLeftCell="A8">
      <pane xSplit="10" ySplit="25" topLeftCell="AU249" activePane="bottomRight" state="frozen"/>
      <selection pane="bottomRight" activeCell="AV275" sqref="AV275"/>
      <rowBreaks count="4" manualBreakCount="4">
        <brk id="114" max="75" man="1"/>
        <brk id="202" max="75" man="1"/>
        <brk id="288" max="75" man="1"/>
        <brk id="327" max="75" man="1"/>
      </rowBreaks>
      <pageMargins left="0.75" right="0.75" top="1" bottom="1" header="0.5" footer="0.5"/>
      <pageSetup paperSize="5" scale="36" orientation="landscape" r:id="rId4"/>
      <headerFooter alignWithMargins="0"/>
    </customSheetView>
  </customSheetViews>
  <mergeCells count="13">
    <mergeCell ref="E319:H319"/>
    <mergeCell ref="E316:H316"/>
    <mergeCell ref="E317:H317"/>
    <mergeCell ref="E312:H312"/>
    <mergeCell ref="E318:H318"/>
    <mergeCell ref="I309:Q309"/>
    <mergeCell ref="I310:Q310"/>
    <mergeCell ref="I311:Q311"/>
    <mergeCell ref="I312:Q312"/>
    <mergeCell ref="A3:F8"/>
    <mergeCell ref="E311:H311"/>
    <mergeCell ref="E309:H309"/>
    <mergeCell ref="E310:H310"/>
  </mergeCells>
  <phoneticPr fontId="26" type="noConversion"/>
  <dataValidations disablePrompts="1" count="2">
    <dataValidation allowBlank="1" showErrorMessage="1" prompt="_x000a__x000a_" sqref="E9" xr:uid="{00000000-0002-0000-0100-000000000000}"/>
    <dataValidation type="whole" allowBlank="1" showInputMessage="1" showErrorMessage="1" error="Enter a whole number." sqref="Y107 Y105" xr:uid="{00000000-0002-0000-0100-000001000000}">
      <formula1>-9999999999999</formula1>
      <formula2>9999999999999</formula2>
    </dataValidation>
  </dataValidations>
  <pageMargins left="0.75" right="0.75" top="1" bottom="1" header="0.5" footer="0.5"/>
  <pageSetup scale="50" orientation="portrait" r:id="rId5"/>
  <headerFooter alignWithMargins="0">
    <oddHeader>&amp;C&amp;"Arial,Bold"Attachment CU4 - FASB Foundations
Financial Statement Template (FST)
&amp;A</oddHeader>
    <oddFooter>&amp;L&amp;F \ &amp;A&amp;RPage &amp;P</oddFooter>
  </headerFooter>
  <rowBreaks count="3" manualBreakCount="3">
    <brk id="116" max="75" man="1"/>
    <brk id="204" max="75" man="1"/>
    <brk id="290" max="75" man="1"/>
  </rowBreaks>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4"/>
  <sheetViews>
    <sheetView zoomScaleNormal="100" zoomScaleSheetLayoutView="100" workbookViewId="0">
      <selection activeCell="D3" sqref="D3:E3"/>
    </sheetView>
  </sheetViews>
  <sheetFormatPr defaultColWidth="9.140625" defaultRowHeight="12.75"/>
  <cols>
    <col min="1" max="1" width="8" customWidth="1"/>
    <col min="2" max="2" width="38.28515625" customWidth="1"/>
    <col min="3" max="4" width="15.42578125" customWidth="1"/>
    <col min="5" max="5" width="56.42578125" customWidth="1"/>
    <col min="6" max="9" width="9.140625" style="519"/>
    <col min="10" max="10" width="41.7109375" style="519" customWidth="1"/>
    <col min="11" max="16384" width="9.140625" style="519"/>
  </cols>
  <sheetData>
    <row r="1" spans="1:11">
      <c r="A1" s="597" t="s">
        <v>392</v>
      </c>
      <c r="B1" s="598"/>
      <c r="C1" s="599"/>
      <c r="D1" s="606" t="str">
        <f>'Component Unit Template'!G1</f>
        <v/>
      </c>
      <c r="E1" s="607"/>
      <c r="F1" s="522"/>
      <c r="G1" s="522"/>
      <c r="I1" s="526"/>
    </row>
    <row r="2" spans="1:11" ht="31.5" customHeight="1">
      <c r="A2" s="597" t="s">
        <v>404</v>
      </c>
      <c r="B2" s="598"/>
      <c r="C2" s="599"/>
      <c r="D2" s="608" t="str">
        <f>IF('Component Unit Template'!G2="","",'Component Unit Template'!G2)</f>
        <v/>
      </c>
      <c r="E2" s="609"/>
      <c r="F2" s="522"/>
      <c r="G2" s="522"/>
      <c r="I2" s="526"/>
    </row>
    <row r="3" spans="1:11">
      <c r="A3" s="597" t="s">
        <v>438</v>
      </c>
      <c r="B3" s="598"/>
      <c r="C3" s="599"/>
      <c r="D3" s="610" t="str">
        <f>IF('Component Unit Template'!G3="","",'Component Unit Template'!G3)</f>
        <v/>
      </c>
      <c r="E3" s="611"/>
      <c r="F3" s="522"/>
      <c r="G3" s="527"/>
      <c r="I3" s="526"/>
    </row>
    <row r="4" spans="1:11">
      <c r="A4" s="597" t="s">
        <v>255</v>
      </c>
      <c r="B4" s="598"/>
      <c r="C4" s="599"/>
      <c r="D4" s="600" t="str">
        <f>IF('Component Unit Template'!G4="","",'Component Unit Template'!G4)</f>
        <v/>
      </c>
      <c r="E4" s="601"/>
      <c r="F4" s="522"/>
      <c r="G4" s="522"/>
      <c r="I4" s="526"/>
    </row>
    <row r="5" spans="1:11">
      <c r="A5" s="597" t="s">
        <v>511</v>
      </c>
      <c r="B5" s="598"/>
      <c r="C5" s="599"/>
      <c r="D5" s="602" t="str">
        <f>IF('Component Unit Template'!G5="","",'Component Unit Template'!G5)</f>
        <v/>
      </c>
      <c r="E5" s="603"/>
      <c r="F5" s="522"/>
      <c r="G5" s="522"/>
      <c r="I5" s="526"/>
      <c r="J5" s="520"/>
      <c r="K5" s="521"/>
    </row>
    <row r="6" spans="1:11">
      <c r="A6" s="597" t="s">
        <v>35</v>
      </c>
      <c r="B6" s="598"/>
      <c r="C6" s="599"/>
      <c r="D6" s="604" t="str">
        <f>IF('Component Unit Template'!G6="","",'Component Unit Template'!G6)</f>
        <v/>
      </c>
      <c r="E6" s="605"/>
      <c r="F6" s="522"/>
      <c r="G6" s="522"/>
      <c r="I6" s="526"/>
      <c r="J6" s="520"/>
      <c r="K6" s="521"/>
    </row>
    <row r="7" spans="1:11">
      <c r="A7" s="519"/>
      <c r="B7" s="519"/>
      <c r="C7" s="519"/>
      <c r="D7" s="519"/>
      <c r="E7" s="519"/>
      <c r="J7" s="520"/>
      <c r="K7" s="521"/>
    </row>
    <row r="8" spans="1:11">
      <c r="A8" s="522"/>
      <c r="B8" s="523" t="s">
        <v>670</v>
      </c>
      <c r="C8" s="522"/>
      <c r="D8" s="522"/>
      <c r="E8" s="522"/>
      <c r="F8" s="522"/>
      <c r="G8" s="522"/>
      <c r="J8" s="520"/>
      <c r="K8" s="521"/>
    </row>
    <row r="9" spans="1:11">
      <c r="A9" s="522"/>
      <c r="B9" s="524"/>
      <c r="C9" s="522"/>
      <c r="D9" s="522"/>
      <c r="E9" s="522"/>
      <c r="F9" s="522"/>
      <c r="G9" s="522"/>
      <c r="J9" s="520"/>
      <c r="K9" s="521"/>
    </row>
    <row r="10" spans="1:11">
      <c r="A10" s="522"/>
      <c r="B10" s="524" t="s">
        <v>671</v>
      </c>
      <c r="C10" s="522"/>
      <c r="D10" s="522"/>
      <c r="E10" s="522"/>
      <c r="F10" s="522"/>
      <c r="G10" s="522"/>
      <c r="J10" s="520"/>
      <c r="K10" s="521"/>
    </row>
    <row r="11" spans="1:11">
      <c r="A11" s="522"/>
      <c r="B11" s="522"/>
      <c r="C11" s="522"/>
      <c r="D11" s="522"/>
      <c r="E11" s="522"/>
      <c r="F11" s="522"/>
      <c r="G11" s="522"/>
      <c r="J11" s="520"/>
      <c r="K11" s="521"/>
    </row>
    <row r="12" spans="1:11">
      <c r="A12" s="522"/>
      <c r="B12" s="525"/>
      <c r="C12" s="596"/>
      <c r="D12" s="596"/>
      <c r="E12" s="522"/>
      <c r="F12" s="522"/>
      <c r="G12" s="522"/>
      <c r="J12" s="520"/>
      <c r="K12" s="521"/>
    </row>
    <row r="13" spans="1:11" ht="24">
      <c r="A13" s="373" t="s">
        <v>672</v>
      </c>
      <c r="B13" s="373" t="s">
        <v>673</v>
      </c>
      <c r="C13" s="374" t="s">
        <v>674</v>
      </c>
      <c r="D13" s="375" t="s">
        <v>675</v>
      </c>
      <c r="E13" s="375" t="s">
        <v>676</v>
      </c>
      <c r="F13" s="522"/>
      <c r="G13" s="522"/>
      <c r="J13" s="520"/>
      <c r="K13" s="521"/>
    </row>
    <row r="14" spans="1:11">
      <c r="A14" s="49" t="s">
        <v>685</v>
      </c>
      <c r="B14" s="376"/>
      <c r="C14" s="376"/>
      <c r="D14" s="376"/>
      <c r="E14" s="376"/>
      <c r="F14" s="522"/>
      <c r="G14" s="522"/>
      <c r="J14" s="520"/>
      <c r="K14" s="521"/>
    </row>
    <row r="15" spans="1:11" ht="24">
      <c r="A15" s="377" t="s">
        <v>677</v>
      </c>
      <c r="B15" s="373" t="str">
        <f>'Component Unit Template'!A40</f>
        <v xml:space="preserve"> Cash held with the Treasurer of Virginia (Account 101010)</v>
      </c>
      <c r="C15" s="378" t="str">
        <f>'Component Unit Template'!M40</f>
        <v/>
      </c>
      <c r="D15" s="380" t="str">
        <f>'Component Unit Template'!N40</f>
        <v/>
      </c>
      <c r="E15" s="379" t="str">
        <f>IF('Component Unit Template'!O40="yes","Answer Required","N/A")</f>
        <v>N/A</v>
      </c>
      <c r="F15" s="522"/>
      <c r="G15" s="522"/>
      <c r="J15" s="520"/>
      <c r="K15" s="521"/>
    </row>
    <row r="16" spans="1:11">
      <c r="A16" s="377" t="s">
        <v>677</v>
      </c>
      <c r="B16" s="373" t="str">
        <f>'Component Unit Template'!A41</f>
        <v xml:space="preserve"> Cash not held with the Treasurer of Virginia</v>
      </c>
      <c r="C16" s="378" t="str">
        <f>'Component Unit Template'!M41</f>
        <v/>
      </c>
      <c r="D16" s="380" t="str">
        <f>'Component Unit Template'!N41</f>
        <v/>
      </c>
      <c r="E16" s="379" t="str">
        <f>IF('Component Unit Template'!O41="yes","Answer Required","N/A")</f>
        <v>N/A</v>
      </c>
      <c r="F16" s="522"/>
      <c r="G16" s="522"/>
      <c r="J16" s="520"/>
      <c r="K16" s="521"/>
    </row>
    <row r="17" spans="1:11" ht="24">
      <c r="A17" s="377" t="s">
        <v>677</v>
      </c>
      <c r="B17" s="373" t="str">
        <f>'Component Unit Template'!A42</f>
        <v xml:space="preserve"> Cash Equivalents with the Treasurer of Virginia - Securities Lending</v>
      </c>
      <c r="C17" s="378" t="str">
        <f>'Component Unit Template'!M42</f>
        <v/>
      </c>
      <c r="D17" s="380" t="str">
        <f>'Component Unit Template'!N42</f>
        <v/>
      </c>
      <c r="E17" s="379" t="str">
        <f>IF('Component Unit Template'!O42="yes","Answer Required","N/A")</f>
        <v>N/A</v>
      </c>
      <c r="F17" s="522"/>
      <c r="G17" s="522"/>
      <c r="J17" s="520"/>
      <c r="K17" s="521"/>
    </row>
    <row r="18" spans="1:11" ht="24">
      <c r="A18" s="377" t="s">
        <v>677</v>
      </c>
      <c r="B18" s="373" t="str">
        <f>'Component Unit Template'!A43</f>
        <v xml:space="preserve"> Local Government Investment Pool - Cash Equivalents</v>
      </c>
      <c r="C18" s="378" t="str">
        <f>'Component Unit Template'!M43</f>
        <v/>
      </c>
      <c r="D18" s="380" t="str">
        <f>'Component Unit Template'!N43</f>
        <v/>
      </c>
      <c r="E18" s="379" t="str">
        <f>IF('Component Unit Template'!O43="yes","Answer Required","N/A")</f>
        <v>N/A</v>
      </c>
      <c r="F18" s="522"/>
      <c r="G18" s="522"/>
      <c r="J18" s="520"/>
      <c r="K18" s="521"/>
    </row>
    <row r="19" spans="1:11" hidden="1">
      <c r="A19" s="377" t="s">
        <v>677</v>
      </c>
      <c r="B19" s="373" t="str">
        <f>'Component Unit Template'!A44</f>
        <v xml:space="preserve"> State Non-Arbitrage Program (SNAP) Pool Funds </v>
      </c>
      <c r="C19" s="378" t="str">
        <f>'Component Unit Template'!M44</f>
        <v/>
      </c>
      <c r="D19" s="380" t="str">
        <f>'Component Unit Template'!N44</f>
        <v/>
      </c>
      <c r="E19" s="379" t="str">
        <f>IF('Component Unit Template'!O44="yes","Answer Required","N/A")</f>
        <v>N/A</v>
      </c>
      <c r="F19" s="522"/>
      <c r="G19" s="522"/>
      <c r="J19" s="520"/>
      <c r="K19" s="521"/>
    </row>
    <row r="20" spans="1:11" hidden="1">
      <c r="A20" s="377" t="s">
        <v>677</v>
      </c>
      <c r="B20" s="373" t="str">
        <f>'Component Unit Template'!A45</f>
        <v xml:space="preserve"> SNAP Individual Portfolio - Cash Equivalents</v>
      </c>
      <c r="C20" s="378" t="str">
        <f>'Component Unit Template'!M45</f>
        <v/>
      </c>
      <c r="D20" s="380" t="str">
        <f>'Component Unit Template'!N45</f>
        <v/>
      </c>
      <c r="E20" s="379" t="str">
        <f>IF('Component Unit Template'!O45="yes","Answer Required","N/A")</f>
        <v>N/A</v>
      </c>
      <c r="F20" s="522"/>
      <c r="G20" s="522"/>
      <c r="J20" s="520"/>
      <c r="K20" s="521"/>
    </row>
    <row r="21" spans="1:11" ht="24">
      <c r="A21" s="377" t="s">
        <v>677</v>
      </c>
      <c r="B21" s="373" t="str">
        <f>'Component Unit Template'!A46</f>
        <v xml:space="preserve"> Cash Equivalents with the Treasurer of Virginia (exclude SNAP &amp; LGIP)</v>
      </c>
      <c r="C21" s="378" t="str">
        <f>'Component Unit Template'!M46</f>
        <v/>
      </c>
      <c r="D21" s="380" t="str">
        <f>'Component Unit Template'!N46</f>
        <v/>
      </c>
      <c r="E21" s="379" t="str">
        <f>IF('Component Unit Template'!O46="yes","Answer Required","N/A")</f>
        <v>N/A</v>
      </c>
      <c r="F21" s="522"/>
      <c r="G21" s="522"/>
      <c r="J21" s="520"/>
      <c r="K21" s="521"/>
    </row>
    <row r="22" spans="1:11" ht="24">
      <c r="A22" s="377" t="s">
        <v>677</v>
      </c>
      <c r="B22" s="373" t="str">
        <f>'Component Unit Template'!A47</f>
        <v xml:space="preserve"> Cash Equivalents not with the Treasurer of Virginia (exclude SNAP)</v>
      </c>
      <c r="C22" s="378" t="str">
        <f>'Component Unit Template'!M47</f>
        <v/>
      </c>
      <c r="D22" s="380" t="str">
        <f>'Component Unit Template'!N47</f>
        <v/>
      </c>
      <c r="E22" s="379" t="str">
        <f>IF('Component Unit Template'!O47="yes","Answer Required","N/A")</f>
        <v>N/A</v>
      </c>
      <c r="F22" s="522"/>
      <c r="G22" s="522"/>
      <c r="J22" s="520"/>
      <c r="K22" s="521"/>
    </row>
    <row r="23" spans="1:11" hidden="1">
      <c r="A23" s="377" t="s">
        <v>677</v>
      </c>
      <c r="B23" s="373" t="str">
        <f>'Component Unit Template'!A51</f>
        <v xml:space="preserve"> SNAP Individual Portfolio - Investments</v>
      </c>
      <c r="C23" s="378" t="str">
        <f>'Component Unit Template'!M51</f>
        <v/>
      </c>
      <c r="D23" s="380" t="str">
        <f>'Component Unit Template'!N51</f>
        <v/>
      </c>
      <c r="E23" s="379" t="str">
        <f>IF('Component Unit Template'!O51="yes","Answer Required","N/A")</f>
        <v>N/A</v>
      </c>
      <c r="F23" s="522"/>
      <c r="G23" s="522"/>
      <c r="J23" s="520"/>
      <c r="K23" s="521"/>
    </row>
    <row r="24" spans="1:11" ht="24">
      <c r="A24" s="377" t="s">
        <v>677</v>
      </c>
      <c r="B24" s="373" t="str">
        <f>'Component Unit Template'!A52</f>
        <v xml:space="preserve"> Investments with the Treasurer of Virginia - Securities Lending</v>
      </c>
      <c r="C24" s="378" t="str">
        <f>'Component Unit Template'!M52</f>
        <v/>
      </c>
      <c r="D24" s="380" t="str">
        <f>'Component Unit Template'!N52</f>
        <v/>
      </c>
      <c r="E24" s="379" t="str">
        <f>IF('Component Unit Template'!O52="yes","Answer Required","N/A")</f>
        <v>N/A</v>
      </c>
      <c r="F24" s="522"/>
      <c r="G24" s="522"/>
    </row>
    <row r="25" spans="1:11" hidden="1">
      <c r="A25" s="377" t="s">
        <v>677</v>
      </c>
      <c r="B25" s="373" t="str">
        <f>'Component Unit Template'!A53</f>
        <v xml:space="preserve"> Local Government Investment Pool - Investments</v>
      </c>
      <c r="C25" s="378" t="str">
        <f>'Component Unit Template'!M53</f>
        <v/>
      </c>
      <c r="D25" s="380" t="str">
        <f>'Component Unit Template'!N53</f>
        <v/>
      </c>
      <c r="E25" s="379" t="str">
        <f>IF('Component Unit Template'!O53="yes","Answer Required","N/A")</f>
        <v>N/A</v>
      </c>
      <c r="F25" s="522"/>
      <c r="G25" s="522"/>
    </row>
    <row r="26" spans="1:11" ht="24">
      <c r="A26" s="377" t="s">
        <v>677</v>
      </c>
      <c r="B26" s="373" t="str">
        <f>'Component Unit Template'!A54</f>
        <v xml:space="preserve"> Investments with the Treasurer of Virginia (exclude SNAP)</v>
      </c>
      <c r="C26" s="378" t="str">
        <f>'Component Unit Template'!M54</f>
        <v/>
      </c>
      <c r="D26" s="380" t="str">
        <f>'Component Unit Template'!N54</f>
        <v/>
      </c>
      <c r="E26" s="379" t="str">
        <f>IF('Component Unit Template'!O54="yes","Answer Required","N/A")</f>
        <v>N/A</v>
      </c>
      <c r="F26" s="522"/>
      <c r="G26" s="522"/>
    </row>
    <row r="27" spans="1:11" ht="24">
      <c r="A27" s="377" t="s">
        <v>677</v>
      </c>
      <c r="B27" s="373" t="str">
        <f>'Component Unit Template'!A55</f>
        <v xml:space="preserve"> Investments not with the Treasurer of Virginia (exclude SNAP)</v>
      </c>
      <c r="C27" s="378" t="str">
        <f>'Component Unit Template'!M55</f>
        <v/>
      </c>
      <c r="D27" s="380" t="str">
        <f>'Component Unit Template'!N55</f>
        <v/>
      </c>
      <c r="E27" s="379" t="str">
        <f>IF('Component Unit Template'!O55="yes","Answer Required","N/A")</f>
        <v>N/A</v>
      </c>
      <c r="F27" s="522"/>
      <c r="G27" s="522"/>
    </row>
    <row r="28" spans="1:11">
      <c r="A28" s="377" t="s">
        <v>677</v>
      </c>
      <c r="B28" s="373" t="str">
        <f>'Component Unit Template'!A58</f>
        <v>Accounts  Receivable, net</v>
      </c>
      <c r="C28" s="378" t="str">
        <f>'Component Unit Template'!M58</f>
        <v/>
      </c>
      <c r="D28" s="380" t="str">
        <f>'Component Unit Template'!N58</f>
        <v/>
      </c>
      <c r="E28" s="379" t="str">
        <f>IF('Component Unit Template'!O58="yes","Answer Required","N/A")</f>
        <v>N/A</v>
      </c>
    </row>
    <row r="29" spans="1:11">
      <c r="A29" s="377" t="s">
        <v>677</v>
      </c>
      <c r="B29" s="373" t="str">
        <f>'Component Unit Template'!A59</f>
        <v>Loan/Mortgage Receivable, net</v>
      </c>
      <c r="C29" s="378" t="str">
        <f>'Component Unit Template'!M59</f>
        <v/>
      </c>
      <c r="D29" s="380" t="str">
        <f>'Component Unit Template'!N59</f>
        <v/>
      </c>
      <c r="E29" s="379" t="str">
        <f>IF('Component Unit Template'!O59="yes","Answer Required","N/A")</f>
        <v>N/A</v>
      </c>
    </row>
    <row r="30" spans="1:11">
      <c r="A30" s="377" t="s">
        <v>677</v>
      </c>
      <c r="B30" s="373" t="str">
        <f>'Component Unit Template'!A60</f>
        <v>Taxes Receivable, net</v>
      </c>
      <c r="C30" s="378" t="str">
        <f>'Component Unit Template'!M60</f>
        <v/>
      </c>
      <c r="D30" s="380" t="str">
        <f>'Component Unit Template'!N60</f>
        <v/>
      </c>
      <c r="E30" s="379" t="str">
        <f>IF('Component Unit Template'!O60="yes","Answer Required","N/A")</f>
        <v>N/A</v>
      </c>
    </row>
    <row r="31" spans="1:11">
      <c r="A31" s="377" t="s">
        <v>677</v>
      </c>
      <c r="B31" s="373" t="str">
        <f>'Component Unit Template'!A61</f>
        <v>Interest Receivable</v>
      </c>
      <c r="C31" s="378" t="str">
        <f>'Component Unit Template'!M61</f>
        <v/>
      </c>
      <c r="D31" s="380" t="str">
        <f>'Component Unit Template'!N61</f>
        <v/>
      </c>
      <c r="E31" s="379" t="str">
        <f>IF('Component Unit Template'!O61="yes","Answer Required","N/A")</f>
        <v>N/A</v>
      </c>
    </row>
    <row r="32" spans="1:11">
      <c r="A32" s="377" t="s">
        <v>677</v>
      </c>
      <c r="B32" s="373" t="s">
        <v>201</v>
      </c>
      <c r="C32" s="378" t="str">
        <f>'Component Unit Template'!M62</f>
        <v/>
      </c>
      <c r="D32" s="380" t="str">
        <f>'Component Unit Template'!N62</f>
        <v/>
      </c>
      <c r="E32" s="379" t="str">
        <f>IF('Component Unit Template'!O62="yes","Answer Required","N/A")</f>
        <v>N/A</v>
      </c>
    </row>
    <row r="33" spans="1:5">
      <c r="A33" s="377" t="s">
        <v>677</v>
      </c>
      <c r="B33" s="373" t="s">
        <v>885</v>
      </c>
      <c r="C33" s="378" t="str">
        <f>'Component Unit Template'!M65</f>
        <v/>
      </c>
      <c r="D33" s="380" t="str">
        <f>'Component Unit Template'!N65</f>
        <v/>
      </c>
      <c r="E33" s="379" t="str">
        <f>IF('Component Unit Template'!O65="yes","Answer Required","N/A")</f>
        <v>N/A</v>
      </c>
    </row>
    <row r="34" spans="1:5">
      <c r="A34" s="377" t="s">
        <v>677</v>
      </c>
      <c r="B34" s="373" t="s">
        <v>468</v>
      </c>
      <c r="C34" s="378" t="str">
        <f>'Component Unit Template'!M67</f>
        <v/>
      </c>
      <c r="D34" s="380" t="str">
        <f>'Component Unit Template'!N67</f>
        <v/>
      </c>
      <c r="E34" s="379" t="str">
        <f>IF('Component Unit Template'!O67="yes","Answer Required","N/A")</f>
        <v>N/A</v>
      </c>
    </row>
    <row r="35" spans="1:5">
      <c r="A35" s="377" t="s">
        <v>677</v>
      </c>
      <c r="B35" s="373" t="s">
        <v>467</v>
      </c>
      <c r="C35" s="378" t="str">
        <f>'Component Unit Template'!M69</f>
        <v/>
      </c>
      <c r="D35" s="380" t="str">
        <f>'Component Unit Template'!N69</f>
        <v/>
      </c>
      <c r="E35" s="379" t="str">
        <f>IF('Component Unit Template'!O69="yes","Answer Required","N/A")</f>
        <v>N/A</v>
      </c>
    </row>
    <row r="36" spans="1:5">
      <c r="A36" s="377" t="s">
        <v>677</v>
      </c>
      <c r="B36" s="373" t="str">
        <f>'Component Unit Template'!A71</f>
        <v>Inventory</v>
      </c>
      <c r="C36" s="378" t="str">
        <f>'Component Unit Template'!M71</f>
        <v/>
      </c>
      <c r="D36" s="380" t="str">
        <f>'Component Unit Template'!N71</f>
        <v/>
      </c>
      <c r="E36" s="379" t="str">
        <f>IF('Component Unit Template'!O71="yes","Answer Required","N/A")</f>
        <v>N/A</v>
      </c>
    </row>
    <row r="37" spans="1:5">
      <c r="A37" s="377" t="s">
        <v>677</v>
      </c>
      <c r="B37" s="373" t="str">
        <f>'Component Unit Template'!A73</f>
        <v>Prepaid Items</v>
      </c>
      <c r="C37" s="378" t="str">
        <f>'Component Unit Template'!M73</f>
        <v/>
      </c>
      <c r="D37" s="380" t="str">
        <f>'Component Unit Template'!N73</f>
        <v/>
      </c>
      <c r="E37" s="379" t="str">
        <f>IF('Component Unit Template'!O73="yes","Answer Required","N/A")</f>
        <v>N/A</v>
      </c>
    </row>
    <row r="38" spans="1:5">
      <c r="A38" s="377" t="s">
        <v>677</v>
      </c>
      <c r="B38" s="373" t="str">
        <f>'Component Unit Template'!A76</f>
        <v>Cash and Travel Advances</v>
      </c>
      <c r="C38" s="378" t="str">
        <f>'Component Unit Template'!M76</f>
        <v/>
      </c>
      <c r="D38" s="380" t="str">
        <f>'Component Unit Template'!N76</f>
        <v/>
      </c>
      <c r="E38" s="379" t="str">
        <f>IF('Component Unit Template'!O76="yes","Answer Required","N/A")</f>
        <v>N/A</v>
      </c>
    </row>
    <row r="39" spans="1:5">
      <c r="A39" s="377" t="s">
        <v>677</v>
      </c>
      <c r="B39" s="373" t="str">
        <f>'Component Unit Template'!A77</f>
        <v>Advances (nonexchange transactions)</v>
      </c>
      <c r="C39" s="378" t="str">
        <f>'Component Unit Template'!M77</f>
        <v/>
      </c>
      <c r="D39" s="380" t="str">
        <f>'Component Unit Template'!N77</f>
        <v/>
      </c>
      <c r="E39" s="379" t="str">
        <f>IF('Component Unit Template'!O77="yes","Answer Required","N/A")</f>
        <v>N/A</v>
      </c>
    </row>
    <row r="40" spans="1:5">
      <c r="A40" s="377" t="s">
        <v>677</v>
      </c>
      <c r="B40" s="373" t="s">
        <v>96</v>
      </c>
      <c r="C40" s="378" t="str">
        <f>'Component Unit Template'!M79</f>
        <v/>
      </c>
      <c r="D40" s="380" t="str">
        <f>'Component Unit Template'!N79</f>
        <v/>
      </c>
      <c r="E40" s="379" t="str">
        <f>IF('Component Unit Template'!O79="yes","Answer Required","N/A")</f>
        <v>N/A</v>
      </c>
    </row>
    <row r="41" spans="1:5" ht="24">
      <c r="A41" s="377" t="s">
        <v>677</v>
      </c>
      <c r="B41" s="373" t="str">
        <f>'Component Unit Template'!A88</f>
        <v>Restricted Cash held with the Treasurer of Virginia (Account 101010)</v>
      </c>
      <c r="C41" s="378" t="str">
        <f>'Component Unit Template'!M88</f>
        <v/>
      </c>
      <c r="D41" s="380" t="str">
        <f>'Component Unit Template'!N88</f>
        <v/>
      </c>
      <c r="E41" s="379" t="str">
        <f>IF('Component Unit Template'!O88="yes","Answer Required","N/A")</f>
        <v>N/A</v>
      </c>
    </row>
    <row r="42" spans="1:5" ht="24">
      <c r="A42" s="377" t="s">
        <v>677</v>
      </c>
      <c r="B42" s="373" t="str">
        <f>'Component Unit Template'!A89</f>
        <v>Restricted Cash not held with the Treasurer of Virginia</v>
      </c>
      <c r="C42" s="378" t="str">
        <f>'Component Unit Template'!M89</f>
        <v/>
      </c>
      <c r="D42" s="380" t="str">
        <f>'Component Unit Template'!N89</f>
        <v/>
      </c>
      <c r="E42" s="379" t="str">
        <f>IF('Component Unit Template'!O89="yes","Answer Required","N/A")</f>
        <v>N/A</v>
      </c>
    </row>
    <row r="43" spans="1:5" ht="24">
      <c r="A43" s="377" t="s">
        <v>677</v>
      </c>
      <c r="B43" s="373" t="str">
        <f>'Component Unit Template'!A90</f>
        <v>Restricted Local Government Investment Pool - Cash Equivalents</v>
      </c>
      <c r="C43" s="378" t="str">
        <f>'Component Unit Template'!M90</f>
        <v/>
      </c>
      <c r="D43" s="380" t="str">
        <f>'Component Unit Template'!N90</f>
        <v/>
      </c>
      <c r="E43" s="379" t="str">
        <f>IF('Component Unit Template'!O90="yes","Answer Required","N/A")</f>
        <v>N/A</v>
      </c>
    </row>
    <row r="44" spans="1:5" ht="24">
      <c r="A44" s="377" t="s">
        <v>677</v>
      </c>
      <c r="B44" s="373" t="str">
        <f>'Component Unit Template'!A91</f>
        <v>Restricted State Non-Arbitrage Program (SNAP) Pool Funds</v>
      </c>
      <c r="C44" s="378" t="str">
        <f>'Component Unit Template'!M91</f>
        <v/>
      </c>
      <c r="D44" s="380" t="str">
        <f>'Component Unit Template'!N91</f>
        <v/>
      </c>
      <c r="E44" s="379" t="str">
        <f>IF('Component Unit Template'!O91="yes","Answer Required","N/A")</f>
        <v>N/A</v>
      </c>
    </row>
    <row r="45" spans="1:5" ht="24">
      <c r="A45" s="377" t="s">
        <v>677</v>
      </c>
      <c r="B45" s="373" t="str">
        <f>'Component Unit Template'!A92</f>
        <v>Restricted SNAP Individual Portfolio - Cash Equivalents</v>
      </c>
      <c r="C45" s="378" t="str">
        <f>'Component Unit Template'!M92</f>
        <v/>
      </c>
      <c r="D45" s="380" t="str">
        <f>'Component Unit Template'!N92</f>
        <v/>
      </c>
      <c r="E45" s="379" t="str">
        <f>IF('Component Unit Template'!O92="yes","Answer Required","N/A")</f>
        <v>N/A</v>
      </c>
    </row>
    <row r="46" spans="1:5" ht="24">
      <c r="A46" s="377" t="s">
        <v>677</v>
      </c>
      <c r="B46" s="373" t="str">
        <f>'Component Unit Template'!A93</f>
        <v>Restricted Cash Equivalents with the Treasurer of Virginia (exclude SNAP)</v>
      </c>
      <c r="C46" s="378" t="str">
        <f>'Component Unit Template'!M93</f>
        <v/>
      </c>
      <c r="D46" s="380" t="str">
        <f>'Component Unit Template'!N93</f>
        <v/>
      </c>
      <c r="E46" s="379" t="str">
        <f>IF('Component Unit Template'!O93="yes","Answer Required","N/A")</f>
        <v>N/A</v>
      </c>
    </row>
    <row r="47" spans="1:5" ht="24">
      <c r="A47" s="377" t="s">
        <v>677</v>
      </c>
      <c r="B47" s="373" t="str">
        <f>'Component Unit Template'!A94</f>
        <v>Restricted Cash Equivalents not with the Treasurer of Virginia (exclude SNAP)</v>
      </c>
      <c r="C47" s="378" t="str">
        <f>'Component Unit Template'!M94</f>
        <v/>
      </c>
      <c r="D47" s="380" t="str">
        <f>'Component Unit Template'!N94</f>
        <v/>
      </c>
      <c r="E47" s="379" t="str">
        <f>IF('Component Unit Template'!O94="yes","Answer Required","N/A")</f>
        <v>N/A</v>
      </c>
    </row>
    <row r="48" spans="1:5">
      <c r="A48" s="377" t="s">
        <v>677</v>
      </c>
      <c r="B48" s="373" t="str">
        <f>'Component Unit Template'!A98</f>
        <v>Restricted SNAP Individual Portfolio - Investments</v>
      </c>
      <c r="C48" s="378" t="str">
        <f>'Component Unit Template'!M98</f>
        <v/>
      </c>
      <c r="D48" s="380" t="str">
        <f>'Component Unit Template'!N98</f>
        <v/>
      </c>
      <c r="E48" s="379" t="str">
        <f>IF('Component Unit Template'!O98="yes","Answer Required","N/A")</f>
        <v>N/A</v>
      </c>
    </row>
    <row r="49" spans="1:5" s="547" customFormat="1" ht="24" hidden="1">
      <c r="A49" s="542" t="s">
        <v>677</v>
      </c>
      <c r="B49" s="543" t="str">
        <f>'Component Unit Template'!A99</f>
        <v>Restricted Local Government Investment Pool - Investments</v>
      </c>
      <c r="C49" s="544" t="str">
        <f>'Component Unit Template'!M99</f>
        <v/>
      </c>
      <c r="D49" s="545" t="str">
        <f>'Component Unit Template'!N99</f>
        <v/>
      </c>
      <c r="E49" s="546" t="str">
        <f>IF('Component Unit Template'!O99="yes","Answer Required","N/A")</f>
        <v>N/A</v>
      </c>
    </row>
    <row r="50" spans="1:5" ht="24">
      <c r="A50" s="377" t="s">
        <v>677</v>
      </c>
      <c r="B50" s="373" t="str">
        <f>'Component Unit Template'!A100</f>
        <v>Restricted Investments with the Treasurer of Virginia (exclude SNAP)</v>
      </c>
      <c r="C50" s="378" t="str">
        <f>'Component Unit Template'!M100</f>
        <v/>
      </c>
      <c r="D50" s="380" t="str">
        <f>'Component Unit Template'!N100</f>
        <v/>
      </c>
      <c r="E50" s="379" t="str">
        <f>IF('Component Unit Template'!O100="yes","Answer Required","N/A")</f>
        <v>N/A</v>
      </c>
    </row>
    <row r="51" spans="1:5" ht="24">
      <c r="A51" s="377" t="s">
        <v>677</v>
      </c>
      <c r="B51" s="373" t="str">
        <f>'Component Unit Template'!A101</f>
        <v>Restricted Investments not with the Treasurer of Virginia (exclude SNAP)</v>
      </c>
      <c r="C51" s="378" t="str">
        <f>'Component Unit Template'!M101</f>
        <v/>
      </c>
      <c r="D51" s="380" t="str">
        <f>'Component Unit Template'!N101</f>
        <v/>
      </c>
      <c r="E51" s="379" t="str">
        <f>IF('Component Unit Template'!O101="yes","Answer Required","N/A")</f>
        <v>N/A</v>
      </c>
    </row>
    <row r="52" spans="1:5">
      <c r="A52" s="377" t="s">
        <v>677</v>
      </c>
      <c r="B52" s="373" t="str">
        <f>'Component Unit Template'!A105</f>
        <v>Restricted Cash and Travel Advances</v>
      </c>
      <c r="C52" s="378" t="str">
        <f>'Component Unit Template'!M105</f>
        <v/>
      </c>
      <c r="D52" s="380" t="str">
        <f>'Component Unit Template'!N105</f>
        <v/>
      </c>
      <c r="E52" s="379" t="str">
        <f>IF('Component Unit Template'!O105="yes","Answer Required","N/A")</f>
        <v>N/A</v>
      </c>
    </row>
    <row r="53" spans="1:5">
      <c r="A53" s="377" t="s">
        <v>677</v>
      </c>
      <c r="B53" s="373" t="str">
        <f>'Component Unit Template'!A106</f>
        <v>Restricted Advances (nonexchange transactions)</v>
      </c>
      <c r="C53" s="378" t="str">
        <f>'Component Unit Template'!M106</f>
        <v/>
      </c>
      <c r="D53" s="380" t="str">
        <f>'Component Unit Template'!N106</f>
        <v/>
      </c>
      <c r="E53" s="379" t="str">
        <f>IF('Component Unit Template'!O106="yes","Answer Required","N/A")</f>
        <v>N/A</v>
      </c>
    </row>
    <row r="54" spans="1:5" hidden="1">
      <c r="A54" s="377" t="s">
        <v>677</v>
      </c>
      <c r="B54" s="373" t="str">
        <f>'Component Unit Template'!A107</f>
        <v>Restricted Unamortized Bond Issuance Expense</v>
      </c>
      <c r="C54" s="378" t="str">
        <f>'Component Unit Template'!M107</f>
        <v/>
      </c>
      <c r="D54" s="380" t="str">
        <f>'Component Unit Template'!N107</f>
        <v/>
      </c>
      <c r="E54" s="379" t="str">
        <f>IF('Component Unit Template'!O107="yes","Answer Required","N/A")</f>
        <v>N/A</v>
      </c>
    </row>
    <row r="55" spans="1:5">
      <c r="A55" s="377" t="s">
        <v>677</v>
      </c>
      <c r="B55" s="373" t="s">
        <v>182</v>
      </c>
      <c r="C55" s="378" t="str">
        <f>'Component Unit Template'!M108</f>
        <v/>
      </c>
      <c r="D55" s="380" t="str">
        <f>'Component Unit Template'!N108</f>
        <v/>
      </c>
      <c r="E55" s="379" t="str">
        <f>IF('Component Unit Template'!O108="yes","Answer Required","N/A")</f>
        <v>N/A</v>
      </c>
    </row>
    <row r="56" spans="1:5">
      <c r="A56" s="377" t="s">
        <v>677</v>
      </c>
      <c r="B56" s="373" t="s">
        <v>919</v>
      </c>
      <c r="C56" s="378" t="str">
        <f>'Component Unit Template'!M111</f>
        <v/>
      </c>
      <c r="D56" s="380" t="str">
        <f>'Component Unit Template'!N111</f>
        <v/>
      </c>
      <c r="E56" s="379" t="str">
        <f>IF('Component Unit Template'!O111="yes","Answer Required","N/A")</f>
        <v>N/A</v>
      </c>
    </row>
    <row r="57" spans="1:5">
      <c r="A57" s="377" t="s">
        <v>677</v>
      </c>
      <c r="B57" s="373" t="str">
        <f>'Component Unit Template'!A113</f>
        <v>Nondepreciable Capital Assets</v>
      </c>
      <c r="C57" s="378" t="str">
        <f>'Component Unit Template'!M113</f>
        <v/>
      </c>
      <c r="D57" s="380" t="str">
        <f>'Component Unit Template'!N113</f>
        <v/>
      </c>
      <c r="E57" s="379" t="str">
        <f>IF('Component Unit Template'!O113="yes","Answer Required","N/A")</f>
        <v>N/A</v>
      </c>
    </row>
    <row r="58" spans="1:5">
      <c r="A58" s="377" t="s">
        <v>677</v>
      </c>
      <c r="B58" s="373" t="str">
        <f>'Component Unit Template'!A115</f>
        <v>Other Capital Assets, Net</v>
      </c>
      <c r="C58" s="378" t="str">
        <f>'Component Unit Template'!M115</f>
        <v/>
      </c>
      <c r="D58" s="380" t="str">
        <f>'Component Unit Template'!N115</f>
        <v/>
      </c>
      <c r="E58" s="379" t="str">
        <f>IF('Component Unit Template'!O115="yes","Answer Required","N/A")</f>
        <v>N/A</v>
      </c>
    </row>
    <row r="59" spans="1:5">
      <c r="A59" s="49" t="s">
        <v>686</v>
      </c>
      <c r="B59" s="373"/>
      <c r="C59" s="378"/>
      <c r="D59" s="380"/>
      <c r="E59" s="389"/>
    </row>
    <row r="60" spans="1:5">
      <c r="A60" s="377" t="s">
        <v>677</v>
      </c>
      <c r="B60" s="373" t="str">
        <f>'Component Unit Template'!A132</f>
        <v>Vendor</v>
      </c>
      <c r="C60" s="378" t="str">
        <f>'Component Unit Template'!M132</f>
        <v/>
      </c>
      <c r="D60" s="380" t="str">
        <f>'Component Unit Template'!N132</f>
        <v/>
      </c>
      <c r="E60" s="379" t="str">
        <f>IF('Component Unit Template'!O132="yes","Answer Required","N/A")</f>
        <v>N/A</v>
      </c>
    </row>
    <row r="61" spans="1:5">
      <c r="A61" s="377" t="s">
        <v>677</v>
      </c>
      <c r="B61" s="373" t="str">
        <f>'Component Unit Template'!A133</f>
        <v>Salaries/Wages</v>
      </c>
      <c r="C61" s="378" t="str">
        <f>'Component Unit Template'!M133</f>
        <v/>
      </c>
      <c r="D61" s="380" t="str">
        <f>'Component Unit Template'!N133</f>
        <v/>
      </c>
      <c r="E61" s="379" t="str">
        <f>IF('Component Unit Template'!O133="yes","Answer Required","N/A")</f>
        <v>N/A</v>
      </c>
    </row>
    <row r="62" spans="1:5">
      <c r="A62" s="377" t="s">
        <v>677</v>
      </c>
      <c r="B62" s="373" t="str">
        <f>'Component Unit Template'!A134</f>
        <v>Retainage Payable</v>
      </c>
      <c r="C62" s="378" t="str">
        <f>'Component Unit Template'!M134</f>
        <v/>
      </c>
      <c r="D62" s="380" t="str">
        <f>'Component Unit Template'!N134</f>
        <v/>
      </c>
      <c r="E62" s="379" t="str">
        <f>IF('Component Unit Template'!O134="yes","Answer Required","N/A")</f>
        <v>N/A</v>
      </c>
    </row>
    <row r="63" spans="1:5">
      <c r="A63" s="377" t="s">
        <v>677</v>
      </c>
      <c r="B63" s="373" t="s">
        <v>884</v>
      </c>
      <c r="C63" s="378" t="str">
        <f>'Component Unit Template'!M135</f>
        <v/>
      </c>
      <c r="D63" s="380" t="str">
        <f>'Component Unit Template'!N135</f>
        <v/>
      </c>
      <c r="E63" s="379" t="str">
        <f>IF('Component Unit Template'!O135="yes","Answer Required","N/A")</f>
        <v>N/A</v>
      </c>
    </row>
    <row r="64" spans="1:5" ht="24">
      <c r="A64" s="377" t="s">
        <v>677</v>
      </c>
      <c r="B64" s="373" t="str">
        <f>'Component Unit Template'!A138</f>
        <v>Due to Other Governments (i.e. Federal/Local Govts)</v>
      </c>
      <c r="C64" s="378" t="str">
        <f>'Component Unit Template'!M138</f>
        <v/>
      </c>
      <c r="D64" s="380" t="str">
        <f>'Component Unit Template'!N138</f>
        <v/>
      </c>
      <c r="E64" s="379" t="str">
        <f>IF('Component Unit Template'!O138="yes","Answer Required","N/A")</f>
        <v>N/A</v>
      </c>
    </row>
    <row r="65" spans="1:5">
      <c r="A65" s="377" t="s">
        <v>677</v>
      </c>
      <c r="B65" s="373" t="s">
        <v>196</v>
      </c>
      <c r="C65" s="378" t="str">
        <f>'Component Unit Template'!M139</f>
        <v/>
      </c>
      <c r="D65" s="380" t="str">
        <f>'Component Unit Template'!N139</f>
        <v/>
      </c>
      <c r="E65" s="379" t="str">
        <f>IF('Component Unit Template'!O139="yes","Answer Required","N/A")</f>
        <v>N/A</v>
      </c>
    </row>
    <row r="66" spans="1:5">
      <c r="A66" s="377" t="s">
        <v>677</v>
      </c>
      <c r="B66" s="373" t="s">
        <v>373</v>
      </c>
      <c r="C66" s="378" t="str">
        <f>'Component Unit Template'!M140</f>
        <v/>
      </c>
      <c r="D66" s="380" t="str">
        <f>'Component Unit Template'!N140</f>
        <v/>
      </c>
      <c r="E66" s="379" t="str">
        <f>IF('Component Unit Template'!O140="yes","Answer Required","N/A")</f>
        <v>N/A</v>
      </c>
    </row>
    <row r="67" spans="1:5">
      <c r="A67" s="377" t="s">
        <v>677</v>
      </c>
      <c r="B67" s="373" t="str">
        <f>'Component Unit Template'!A141</f>
        <v>Unearned Revenue</v>
      </c>
      <c r="C67" s="378" t="str">
        <f>'Component Unit Template'!M141</f>
        <v/>
      </c>
      <c r="D67" s="380" t="str">
        <f>'Component Unit Template'!N141</f>
        <v/>
      </c>
      <c r="E67" s="379" t="str">
        <f>IF('Component Unit Template'!O141="yes","Answer Required","N/A")</f>
        <v>N/A</v>
      </c>
    </row>
    <row r="68" spans="1:5">
      <c r="A68" s="377" t="s">
        <v>677</v>
      </c>
      <c r="B68" s="373" t="str">
        <f>'Component Unit Template'!A143</f>
        <v>Obligations Under Securities Lending Program</v>
      </c>
      <c r="C68" s="378" t="str">
        <f>'Component Unit Template'!M143</f>
        <v/>
      </c>
      <c r="D68" s="380" t="str">
        <f>'Component Unit Template'!N143</f>
        <v/>
      </c>
      <c r="E68" s="379" t="str">
        <f>IF('Component Unit Template'!O143="yes","Answer Required","N/A")</f>
        <v>N/A</v>
      </c>
    </row>
    <row r="69" spans="1:5">
      <c r="A69" s="377" t="s">
        <v>677</v>
      </c>
      <c r="B69" s="373" t="str">
        <f>'Component Unit Template'!A146</f>
        <v>Accrued Interest Payable</v>
      </c>
      <c r="C69" s="378" t="str">
        <f>'Component Unit Template'!M146</f>
        <v/>
      </c>
      <c r="D69" s="380" t="str">
        <f>'Component Unit Template'!N146</f>
        <v/>
      </c>
      <c r="E69" s="391" t="str">
        <f>IF('Component Unit Template'!O146="yes","Answer Required","N/A")</f>
        <v>N/A</v>
      </c>
    </row>
    <row r="70" spans="1:5">
      <c r="A70" s="377" t="s">
        <v>677</v>
      </c>
      <c r="B70" s="373" t="s">
        <v>882</v>
      </c>
      <c r="C70" s="378" t="str">
        <f>'Component Unit Template'!M147</f>
        <v/>
      </c>
      <c r="D70" s="380" t="str">
        <f>'Component Unit Template'!N147</f>
        <v/>
      </c>
      <c r="E70" s="379" t="str">
        <f>IF('Component Unit Template'!O147="yes","Answer Required","N/A")</f>
        <v>N/A</v>
      </c>
    </row>
    <row r="71" spans="1:5">
      <c r="A71" s="377" t="s">
        <v>677</v>
      </c>
      <c r="B71" s="373" t="str">
        <f>'Component Unit Template'!A148</f>
        <v>Deposits Pending Distribution</v>
      </c>
      <c r="C71" s="378" t="str">
        <f>'Component Unit Template'!M148</f>
        <v/>
      </c>
      <c r="D71" s="380" t="str">
        <f>'Component Unit Template'!N148</f>
        <v/>
      </c>
      <c r="E71" s="379" t="str">
        <f>IF('Component Unit Template'!O148="yes","Answer Required","N/A")</f>
        <v>N/A</v>
      </c>
    </row>
    <row r="72" spans="1:5">
      <c r="A72" s="377" t="s">
        <v>677</v>
      </c>
      <c r="B72" s="373" t="str">
        <f>'Component Unit Template'!A149</f>
        <v>Short-term Debt</v>
      </c>
      <c r="C72" s="378" t="str">
        <f>'Component Unit Template'!M149</f>
        <v/>
      </c>
      <c r="D72" s="380" t="str">
        <f>'Component Unit Template'!N149</f>
        <v/>
      </c>
      <c r="E72" s="379" t="str">
        <f>IF('Component Unit Template'!O149="yes","Answer Required","N/A")</f>
        <v>N/A</v>
      </c>
    </row>
    <row r="73" spans="1:5">
      <c r="A73" s="377" t="s">
        <v>677</v>
      </c>
      <c r="B73" s="373" t="str">
        <f>'Component Unit Template'!A150</f>
        <v>Grants Payable</v>
      </c>
      <c r="C73" s="378" t="str">
        <f>'Component Unit Template'!M150</f>
        <v/>
      </c>
      <c r="D73" s="380" t="str">
        <f>'Component Unit Template'!N150</f>
        <v/>
      </c>
      <c r="E73" s="379" t="str">
        <f>IF('Component Unit Template'!O150="yes","Answer Required","N/A")</f>
        <v>N/A</v>
      </c>
    </row>
    <row r="74" spans="1:5">
      <c r="A74" s="377" t="s">
        <v>677</v>
      </c>
      <c r="B74" s="373" t="str">
        <f>'Component Unit Template'!A153</f>
        <v>Loans Payable to Primary Government</v>
      </c>
      <c r="C74" s="378" t="str">
        <f>'Component Unit Template'!M153</f>
        <v/>
      </c>
      <c r="D74" s="380" t="str">
        <f>'Component Unit Template'!N153</f>
        <v/>
      </c>
      <c r="E74" s="379" t="str">
        <f>IF('Component Unit Template'!O153="yes","Answer Required","N/A")</f>
        <v>N/A</v>
      </c>
    </row>
    <row r="75" spans="1:5">
      <c r="A75" s="377" t="s">
        <v>677</v>
      </c>
      <c r="B75" s="373" t="str">
        <f>'Component Unit Template'!A156</f>
        <v>Bonds Payable - Due Within One Year</v>
      </c>
      <c r="C75" s="378" t="str">
        <f>'Component Unit Template'!M156</f>
        <v/>
      </c>
      <c r="D75" s="380" t="str">
        <f>'Component Unit Template'!N156</f>
        <v/>
      </c>
      <c r="E75" s="379" t="str">
        <f>IF('Component Unit Template'!O156="yes","Answer Required","N/A")</f>
        <v>N/A</v>
      </c>
    </row>
    <row r="76" spans="1:5" ht="24">
      <c r="A76" s="377" t="s">
        <v>677</v>
      </c>
      <c r="B76" s="373" t="str">
        <f>'Component Unit Template'!A157</f>
        <v>Installment Purchase Obligations - Due within one year</v>
      </c>
      <c r="C76" s="378" t="str">
        <f>'Component Unit Template'!M157</f>
        <v/>
      </c>
      <c r="D76" s="380" t="str">
        <f>'Component Unit Template'!N157</f>
        <v/>
      </c>
      <c r="E76" s="379" t="str">
        <f>IF('Component Unit Template'!O157="yes","Answer Required","N/A")</f>
        <v>N/A</v>
      </c>
    </row>
    <row r="77" spans="1:5" hidden="1">
      <c r="A77" s="377" t="s">
        <v>677</v>
      </c>
      <c r="B77" s="373" t="str">
        <f>'Component Unit Template'!A158</f>
        <v>Capital Lease Obligations - Due Within One Year</v>
      </c>
      <c r="C77" s="378"/>
      <c r="D77" s="380"/>
      <c r="E77" s="379"/>
    </row>
    <row r="78" spans="1:5">
      <c r="A78" s="377" t="s">
        <v>677</v>
      </c>
      <c r="B78" s="373" t="str">
        <f>'Component Unit Template'!A159</f>
        <v>Notes Payable - Due Within One Year</v>
      </c>
      <c r="C78" s="378" t="str">
        <f>'Component Unit Template'!M159</f>
        <v/>
      </c>
      <c r="D78" s="380" t="str">
        <f>'Component Unit Template'!N159</f>
        <v/>
      </c>
      <c r="E78" s="379" t="str">
        <f>IF('Component Unit Template'!O159="yes","Answer Required","N/A")</f>
        <v>N/A</v>
      </c>
    </row>
    <row r="79" spans="1:5">
      <c r="A79" s="377" t="s">
        <v>677</v>
      </c>
      <c r="B79" s="373" t="str">
        <f>'Component Unit Template'!A160</f>
        <v>Compensated Absences - Due Within One Year</v>
      </c>
      <c r="C79" s="378" t="str">
        <f>'Component Unit Template'!M160</f>
        <v/>
      </c>
      <c r="D79" s="380" t="str">
        <f>'Component Unit Template'!N160</f>
        <v/>
      </c>
      <c r="E79" s="379" t="str">
        <f>IF('Component Unit Template'!O160="yes","Answer Required","N/A")</f>
        <v>N/A</v>
      </c>
    </row>
    <row r="80" spans="1:5">
      <c r="A80" s="377" t="s">
        <v>677</v>
      </c>
      <c r="B80" s="373" t="str">
        <f>'Component Unit Template'!A161</f>
        <v>Bond Anticipation Notes - Due Within One Year</v>
      </c>
      <c r="C80" s="378" t="str">
        <f>'Component Unit Template'!M161</f>
        <v/>
      </c>
      <c r="D80" s="380" t="str">
        <f>'Component Unit Template'!N161</f>
        <v/>
      </c>
      <c r="E80" s="379" t="str">
        <f>IF('Component Unit Template'!O161="yes","Answer Required","N/A")</f>
        <v>N/A</v>
      </c>
    </row>
    <row r="81" spans="1:5" ht="24" hidden="1">
      <c r="A81" s="377" t="s">
        <v>677</v>
      </c>
      <c r="B81" s="373" t="str">
        <f>'Component Unit Template'!A162</f>
        <v>Net Other Postemployment Benefits (OPEB) Liability</v>
      </c>
      <c r="C81" s="425" t="str">
        <f>'Component Unit Template'!M162</f>
        <v/>
      </c>
      <c r="D81" s="426" t="str">
        <f>'Component Unit Template'!N162</f>
        <v/>
      </c>
      <c r="E81" s="379" t="str">
        <f>IF('Component Unit Template'!O162="yes","Answer Required","N/A")</f>
        <v>N/A</v>
      </c>
    </row>
    <row r="82" spans="1:5" ht="24" hidden="1">
      <c r="A82" s="377" t="s">
        <v>677</v>
      </c>
      <c r="B82" s="373" t="s">
        <v>813</v>
      </c>
      <c r="C82" s="378" t="str">
        <f>'Component Unit Template'!M163</f>
        <v/>
      </c>
      <c r="D82" s="380" t="str">
        <f>'Component Unit Template'!N163</f>
        <v/>
      </c>
      <c r="E82" s="379" t="str">
        <f>IF('Component Unit Template'!O163="yes","Answer Required","N/A")</f>
        <v>N/A</v>
      </c>
    </row>
    <row r="83" spans="1:5" ht="24">
      <c r="A83" s="377" t="s">
        <v>677</v>
      </c>
      <c r="B83" s="373" t="str">
        <f>'Component Unit Template'!A164</f>
        <v>Trust and Annuity Obligations-Due Within One Year</v>
      </c>
      <c r="C83" s="378" t="str">
        <f>'Component Unit Template'!M164</f>
        <v/>
      </c>
      <c r="D83" s="380" t="str">
        <f>'Component Unit Template'!N164</f>
        <v/>
      </c>
      <c r="E83" s="379" t="str">
        <f>IF('Component Unit Template'!O164="yes","Answer Required","N/A")</f>
        <v>N/A</v>
      </c>
    </row>
    <row r="84" spans="1:5">
      <c r="A84" s="377" t="s">
        <v>677</v>
      </c>
      <c r="B84" s="373" t="s">
        <v>881</v>
      </c>
      <c r="C84" s="378" t="str">
        <f>'Component Unit Template'!M165</f>
        <v/>
      </c>
      <c r="D84" s="380" t="str">
        <f>'Component Unit Template'!N165</f>
        <v/>
      </c>
      <c r="E84" s="379" t="str">
        <f>IF('Component Unit Template'!O165="yes","Answer Required","N/A")</f>
        <v>N/A</v>
      </c>
    </row>
    <row r="85" spans="1:5">
      <c r="A85" s="377" t="s">
        <v>677</v>
      </c>
      <c r="B85" s="373" t="str">
        <f>'Component Unit Template'!A168</f>
        <v>Accrued Interest Payable</v>
      </c>
      <c r="C85" s="378" t="str">
        <f>'Component Unit Template'!M168</f>
        <v/>
      </c>
      <c r="D85" s="380" t="str">
        <f>'Component Unit Template'!N168</f>
        <v/>
      </c>
      <c r="E85" s="379" t="str">
        <f>IF('Component Unit Template'!O168="yes","Answer Required","N/A")</f>
        <v>N/A</v>
      </c>
    </row>
    <row r="86" spans="1:5">
      <c r="A86" s="377" t="s">
        <v>677</v>
      </c>
      <c r="B86" s="373" t="s">
        <v>883</v>
      </c>
      <c r="C86" s="378" t="str">
        <f>'Component Unit Template'!M169</f>
        <v/>
      </c>
      <c r="D86" s="380" t="str">
        <f>'Component Unit Template'!N169</f>
        <v/>
      </c>
      <c r="E86" s="379" t="str">
        <f>IF('Component Unit Template'!O169="yes","Answer Required","N/A")</f>
        <v>N/A</v>
      </c>
    </row>
    <row r="87" spans="1:5">
      <c r="A87" s="377" t="s">
        <v>677</v>
      </c>
      <c r="B87" s="373" t="str">
        <f>'Component Unit Template'!A170</f>
        <v>Deposits Pending Distribution</v>
      </c>
      <c r="C87" s="378" t="str">
        <f>'Component Unit Template'!M170</f>
        <v/>
      </c>
      <c r="D87" s="380" t="str">
        <f>'Component Unit Template'!N170</f>
        <v/>
      </c>
      <c r="E87" s="379" t="str">
        <f>IF('Component Unit Template'!O170="yes","Answer Required","N/A")</f>
        <v>N/A</v>
      </c>
    </row>
    <row r="88" spans="1:5">
      <c r="A88" s="377" t="s">
        <v>677</v>
      </c>
      <c r="B88" s="373" t="str">
        <f>'Component Unit Template'!A172</f>
        <v>Grants Payable</v>
      </c>
      <c r="C88" s="378" t="str">
        <f>'Component Unit Template'!M172</f>
        <v/>
      </c>
      <c r="D88" s="380" t="str">
        <f>'Component Unit Template'!N172</f>
        <v/>
      </c>
      <c r="E88" s="379" t="str">
        <f>IF('Component Unit Template'!O172="yes","Answer Required","N/A")</f>
        <v>N/A</v>
      </c>
    </row>
    <row r="89" spans="1:5">
      <c r="A89" s="377" t="s">
        <v>677</v>
      </c>
      <c r="B89" s="373" t="str">
        <f>'Component Unit Template'!A175</f>
        <v>Bonds Payable - Due Greater Than One Year</v>
      </c>
      <c r="C89" s="378" t="str">
        <f>'Component Unit Template'!M175</f>
        <v/>
      </c>
      <c r="D89" s="380" t="str">
        <f>'Component Unit Template'!N175</f>
        <v/>
      </c>
      <c r="E89" s="379" t="str">
        <f>IF('Component Unit Template'!O175="yes","Answer Required","N/A")</f>
        <v>N/A</v>
      </c>
    </row>
    <row r="90" spans="1:5" ht="24">
      <c r="A90" s="377" t="s">
        <v>677</v>
      </c>
      <c r="B90" s="373" t="str">
        <f>'Component Unit Template'!A176</f>
        <v>Installment Purchase Obligations - Due Greater Than One Year</v>
      </c>
      <c r="C90" s="378" t="str">
        <f>'Component Unit Template'!M176</f>
        <v/>
      </c>
      <c r="D90" s="380" t="str">
        <f>'Component Unit Template'!N176</f>
        <v/>
      </c>
      <c r="E90" s="379" t="str">
        <f>IF('Component Unit Template'!O176="yes","Answer Required","N/A")</f>
        <v>N/A</v>
      </c>
    </row>
    <row r="91" spans="1:5" ht="24" hidden="1">
      <c r="A91" s="377" t="s">
        <v>677</v>
      </c>
      <c r="B91" s="373" t="str">
        <f>'Component Unit Template'!A177</f>
        <v>Capital Lease Obligations - Due Greater Than One Year</v>
      </c>
      <c r="C91" s="378"/>
      <c r="D91" s="380"/>
      <c r="E91" s="379"/>
    </row>
    <row r="92" spans="1:5">
      <c r="A92" s="377" t="s">
        <v>677</v>
      </c>
      <c r="B92" s="373" t="str">
        <f>'Component Unit Template'!A178</f>
        <v>Notes Payable - Due Greater Than One Year</v>
      </c>
      <c r="C92" s="378" t="str">
        <f>'Component Unit Template'!M178</f>
        <v/>
      </c>
      <c r="D92" s="380" t="str">
        <f>'Component Unit Template'!N178</f>
        <v/>
      </c>
      <c r="E92" s="379" t="str">
        <f>IF('Component Unit Template'!O178="yes","Answer Required","N/A")</f>
        <v>N/A</v>
      </c>
    </row>
    <row r="93" spans="1:5" ht="24">
      <c r="A93" s="377" t="s">
        <v>677</v>
      </c>
      <c r="B93" s="373" t="str">
        <f>'Component Unit Template'!A179</f>
        <v>Compensated Absences - Due Greater Than One Year</v>
      </c>
      <c r="C93" s="378" t="str">
        <f>'Component Unit Template'!M179</f>
        <v/>
      </c>
      <c r="D93" s="380" t="str">
        <f>'Component Unit Template'!N179</f>
        <v/>
      </c>
      <c r="E93" s="379" t="str">
        <f>IF('Component Unit Template'!O179="yes","Answer Required","N/A")</f>
        <v>N/A</v>
      </c>
    </row>
    <row r="94" spans="1:5" hidden="1">
      <c r="A94" s="377" t="s">
        <v>677</v>
      </c>
      <c r="B94" s="373"/>
      <c r="C94" s="378"/>
      <c r="D94" s="380"/>
      <c r="E94" s="379"/>
    </row>
    <row r="95" spans="1:5" hidden="1">
      <c r="A95" s="377" t="s">
        <v>677</v>
      </c>
      <c r="B95" s="373"/>
      <c r="C95" s="378"/>
      <c r="D95" s="380"/>
      <c r="E95" s="379"/>
    </row>
    <row r="96" spans="1:5" ht="24" hidden="1">
      <c r="A96" s="377" t="s">
        <v>677</v>
      </c>
      <c r="B96" s="373" t="str">
        <f>'Component Unit Template'!A180</f>
        <v>Total Other Postemployment Benefits (OPEB) Liability</v>
      </c>
      <c r="C96" s="378" t="str">
        <f>'Component Unit Template'!M180</f>
        <v/>
      </c>
      <c r="D96" s="380" t="str">
        <f>'Component Unit Template'!N180</f>
        <v/>
      </c>
      <c r="E96" s="379" t="str">
        <f>IF('Component Unit Template'!O180="yes","Answer Required","N/A")</f>
        <v>N/A</v>
      </c>
    </row>
    <row r="97" spans="1:5" ht="24">
      <c r="A97" s="377" t="s">
        <v>677</v>
      </c>
      <c r="B97" s="373" t="str">
        <f>'Component Unit Template'!A181</f>
        <v>Bond Anticipation Notes - Due Greater Than One Year</v>
      </c>
      <c r="C97" s="378" t="str">
        <f>'Component Unit Template'!M181</f>
        <v/>
      </c>
      <c r="D97" s="380" t="str">
        <f>'Component Unit Template'!N181</f>
        <v/>
      </c>
      <c r="E97" s="379" t="str">
        <f>IF('Component Unit Template'!O181="yes","Answer Required","N/A")</f>
        <v>N/A</v>
      </c>
    </row>
    <row r="98" spans="1:5" ht="24">
      <c r="A98" s="377" t="s">
        <v>677</v>
      </c>
      <c r="B98" s="373" t="str">
        <f>'Component Unit Template'!A182</f>
        <v>Trust and Annuity Obligations-Due Greater Than One Year</v>
      </c>
      <c r="C98" s="378" t="str">
        <f>'Component Unit Template'!M182</f>
        <v/>
      </c>
      <c r="D98" s="380" t="str">
        <f>'Component Unit Template'!N182</f>
        <v/>
      </c>
      <c r="E98" s="379" t="str">
        <f>IF('Component Unit Template'!O182="yes","Answer Required","N/A")</f>
        <v>N/A</v>
      </c>
    </row>
    <row r="99" spans="1:5" ht="24">
      <c r="A99" s="377" t="s">
        <v>677</v>
      </c>
      <c r="B99" s="373" t="s">
        <v>880</v>
      </c>
      <c r="C99" s="378" t="str">
        <f>'Component Unit Template'!M183</f>
        <v/>
      </c>
      <c r="D99" s="380" t="str">
        <f>'Component Unit Template'!N183</f>
        <v/>
      </c>
      <c r="E99" s="379" t="str">
        <f>IF('Component Unit Template'!O183="yes","Answer Required","N/A")</f>
        <v>N/A</v>
      </c>
    </row>
    <row r="100" spans="1:5">
      <c r="A100" s="372" t="s">
        <v>879</v>
      </c>
      <c r="B100" s="377"/>
      <c r="C100" s="377"/>
      <c r="D100" s="380"/>
      <c r="E100" s="377"/>
    </row>
    <row r="101" spans="1:5">
      <c r="A101" s="377" t="s">
        <v>677</v>
      </c>
      <c r="B101" s="373" t="str">
        <f>'Component Unit Template'!A193</f>
        <v>Net Investment in Capital Assets</v>
      </c>
      <c r="C101" s="378" t="str">
        <f>'Component Unit Template'!M193</f>
        <v/>
      </c>
      <c r="D101" s="380" t="str">
        <f>'Component Unit Template'!N193</f>
        <v/>
      </c>
      <c r="E101" s="379" t="str">
        <f>IF('Component Unit Template'!O193="yes","Answer Required","N/A")</f>
        <v>N/A</v>
      </c>
    </row>
    <row r="102" spans="1:5">
      <c r="A102" s="377" t="s">
        <v>677</v>
      </c>
      <c r="B102" s="373" t="s">
        <v>678</v>
      </c>
      <c r="C102" s="378" t="str">
        <f>'Component Unit Template'!M195</f>
        <v/>
      </c>
      <c r="D102" s="380" t="str">
        <f>'Component Unit Template'!N195</f>
        <v/>
      </c>
      <c r="E102" s="379" t="str">
        <f>IF('Component Unit Template'!O195="yes","Answer Required","N/A")</f>
        <v>N/A</v>
      </c>
    </row>
    <row r="103" spans="1:5" ht="24">
      <c r="A103" s="377" t="s">
        <v>677</v>
      </c>
      <c r="B103" s="373" t="s">
        <v>827</v>
      </c>
      <c r="C103" s="378" t="str">
        <f>'Component Unit Template'!M198</f>
        <v/>
      </c>
      <c r="D103" s="380" t="str">
        <f>'Component Unit Template'!N198</f>
        <v/>
      </c>
      <c r="E103" s="379" t="str">
        <f>IF('Component Unit Template'!O198="yes","Answer Required","N/A")</f>
        <v>N/A</v>
      </c>
    </row>
    <row r="104" spans="1:5" ht="24" hidden="1">
      <c r="A104" s="422" t="s">
        <v>677</v>
      </c>
      <c r="B104" s="423" t="s">
        <v>725</v>
      </c>
      <c r="C104" s="425" t="str">
        <f>'Component Unit Template'!M199</f>
        <v/>
      </c>
      <c r="D104" s="426" t="str">
        <f>'Component Unit Template'!N199</f>
        <v/>
      </c>
      <c r="E104" s="463" t="str">
        <f>IF('Component Unit Template'!O199="yes","Answer Required","N/A")</f>
        <v>N/A</v>
      </c>
    </row>
    <row r="105" spans="1:5">
      <c r="A105" s="377" t="s">
        <v>677</v>
      </c>
      <c r="B105" s="373" t="s">
        <v>679</v>
      </c>
      <c r="C105" s="378" t="str">
        <f>'Component Unit Template'!M200</f>
        <v/>
      </c>
      <c r="D105" s="380" t="str">
        <f>'Component Unit Template'!N200</f>
        <v/>
      </c>
      <c r="E105" s="379" t="str">
        <f>IF('Component Unit Template'!O200="yes","Answer Required","N/A")</f>
        <v>N/A</v>
      </c>
    </row>
    <row r="106" spans="1:5">
      <c r="A106" s="377" t="s">
        <v>677</v>
      </c>
      <c r="B106" s="373" t="s">
        <v>680</v>
      </c>
      <c r="C106" s="378" t="str">
        <f>'Component Unit Template'!M201</f>
        <v/>
      </c>
      <c r="D106" s="380" t="str">
        <f>'Component Unit Template'!N201</f>
        <v/>
      </c>
      <c r="E106" s="379" t="str">
        <f>IF('Component Unit Template'!O201="yes","Answer Required","N/A")</f>
        <v>N/A</v>
      </c>
    </row>
    <row r="107" spans="1:5">
      <c r="A107" s="377" t="s">
        <v>677</v>
      </c>
      <c r="B107" s="373" t="s">
        <v>681</v>
      </c>
      <c r="C107" s="378" t="str">
        <f>'Component Unit Template'!M202</f>
        <v/>
      </c>
      <c r="D107" s="380" t="str">
        <f>'Component Unit Template'!N202</f>
        <v/>
      </c>
      <c r="E107" s="379" t="str">
        <f>IF('Component Unit Template'!O202="yes","Answer Required","N/A")</f>
        <v>N/A</v>
      </c>
    </row>
    <row r="108" spans="1:5">
      <c r="A108" s="377" t="s">
        <v>677</v>
      </c>
      <c r="B108" s="373" t="s">
        <v>682</v>
      </c>
      <c r="C108" s="378" t="str">
        <f>'Component Unit Template'!M203</f>
        <v/>
      </c>
      <c r="D108" s="380" t="str">
        <f>'Component Unit Template'!N203</f>
        <v/>
      </c>
      <c r="E108" s="379" t="str">
        <f>IF('Component Unit Template'!O203="yes","Answer Required","N/A")</f>
        <v>N/A</v>
      </c>
    </row>
    <row r="109" spans="1:5">
      <c r="A109" s="377" t="s">
        <v>677</v>
      </c>
      <c r="B109" s="373" t="s">
        <v>828</v>
      </c>
      <c r="C109" s="378" t="str">
        <f>'Component Unit Template'!M204</f>
        <v/>
      </c>
      <c r="D109" s="380" t="str">
        <f>'Component Unit Template'!N204</f>
        <v/>
      </c>
      <c r="E109" s="379" t="str">
        <f>IF('Component Unit Template'!O204="yes","Answer Required","N/A")</f>
        <v>N/A</v>
      </c>
    </row>
    <row r="110" spans="1:5">
      <c r="A110" s="377" t="s">
        <v>677</v>
      </c>
      <c r="B110" s="373" t="str">
        <f>'Component Unit Template'!A205</f>
        <v>Unrestricted</v>
      </c>
      <c r="C110" s="378" t="str">
        <f>'Component Unit Template'!M205</f>
        <v/>
      </c>
      <c r="D110" s="380" t="str">
        <f>'Component Unit Template'!N205</f>
        <v/>
      </c>
      <c r="E110" s="379" t="str">
        <f>IF('Component Unit Template'!O205="yes","Answer Required","N/A")</f>
        <v>N/A</v>
      </c>
    </row>
    <row r="111" spans="1:5">
      <c r="A111" s="381" t="s">
        <v>687</v>
      </c>
      <c r="B111" s="373"/>
      <c r="C111" s="378"/>
      <c r="D111" s="380"/>
      <c r="E111" s="389"/>
    </row>
    <row r="112" spans="1:5">
      <c r="A112" s="377" t="s">
        <v>683</v>
      </c>
      <c r="B112" s="373" t="str">
        <f>'Component Unit Template'!A217</f>
        <v>Charges for Services</v>
      </c>
      <c r="C112" s="378" t="str">
        <f>'Component Unit Template'!M217</f>
        <v/>
      </c>
      <c r="D112" s="380" t="str">
        <f>'Component Unit Template'!N217</f>
        <v/>
      </c>
      <c r="E112" s="379" t="str">
        <f>IF('Component Unit Template'!O217="yes","Answer Required","N/A")</f>
        <v>N/A</v>
      </c>
    </row>
    <row r="113" spans="1:5">
      <c r="A113" s="377" t="s">
        <v>683</v>
      </c>
      <c r="B113" s="373" t="str">
        <f>'Component Unit Template'!A218</f>
        <v>Operating Grants and Contributions</v>
      </c>
      <c r="C113" s="378" t="str">
        <f>'Component Unit Template'!M218</f>
        <v/>
      </c>
      <c r="D113" s="380" t="str">
        <f>'Component Unit Template'!N218</f>
        <v/>
      </c>
      <c r="E113" s="379" t="str">
        <f>IF('Component Unit Template'!O218="yes","Answer Required","N/A")</f>
        <v>N/A</v>
      </c>
    </row>
    <row r="114" spans="1:5" ht="24">
      <c r="A114" s="377" t="s">
        <v>683</v>
      </c>
      <c r="B114" s="373" t="str">
        <f>'Component Unit Template'!A219</f>
        <v>Capital Grants and Contributions (include capital appropriations here)</v>
      </c>
      <c r="C114" s="378" t="str">
        <f>'Component Unit Template'!M219</f>
        <v/>
      </c>
      <c r="D114" s="380" t="str">
        <f>'Component Unit Template'!N219</f>
        <v/>
      </c>
      <c r="E114" s="379" t="str">
        <f>IF('Component Unit Template'!O219="yes","Answer Required","N/A")</f>
        <v>N/A</v>
      </c>
    </row>
    <row r="115" spans="1:5">
      <c r="A115" s="377" t="s">
        <v>683</v>
      </c>
      <c r="B115" s="373" t="str">
        <f>'Component Unit Template'!A220</f>
        <v>Income From Security Lending Transactions</v>
      </c>
      <c r="C115" s="378" t="str">
        <f>'Component Unit Template'!M220</f>
        <v/>
      </c>
      <c r="D115" s="380" t="str">
        <f>'Component Unit Template'!N220</f>
        <v/>
      </c>
      <c r="E115" s="379" t="str">
        <f>IF('Component Unit Template'!O220="yes","Answer Required","N/A")</f>
        <v>N/A</v>
      </c>
    </row>
    <row r="116" spans="1:5">
      <c r="A116" s="381" t="s">
        <v>688</v>
      </c>
      <c r="B116" s="373"/>
      <c r="C116" s="378"/>
      <c r="D116" s="380"/>
      <c r="E116" s="389"/>
    </row>
    <row r="117" spans="1:5">
      <c r="A117" s="377" t="s">
        <v>683</v>
      </c>
      <c r="B117" s="373" t="str">
        <f>'Component Unit Template'!A224</f>
        <v>Operating and Nonoperating Expenses</v>
      </c>
      <c r="C117" s="378" t="str">
        <f>'Component Unit Template'!M224</f>
        <v/>
      </c>
      <c r="D117" s="380" t="str">
        <f>'Component Unit Template'!N224</f>
        <v/>
      </c>
      <c r="E117" s="379" t="str">
        <f>IF('Component Unit Template'!O224="yes","Answer Required","N/A")</f>
        <v>N/A</v>
      </c>
    </row>
    <row r="118" spans="1:5">
      <c r="A118" s="377" t="s">
        <v>683</v>
      </c>
      <c r="B118" s="373" t="str">
        <f>'Component Unit Template'!A225</f>
        <v>Loss on Sale/Disposal/Impairment of Capital Assets</v>
      </c>
      <c r="C118" s="378" t="str">
        <f>'Component Unit Template'!M225</f>
        <v/>
      </c>
      <c r="D118" s="380" t="str">
        <f>'Component Unit Template'!N225</f>
        <v/>
      </c>
      <c r="E118" s="379" t="str">
        <f>IF('Component Unit Template'!O225="yes","Answer Required","N/A")</f>
        <v>N/A</v>
      </c>
    </row>
    <row r="119" spans="1:5">
      <c r="A119" s="377" t="s">
        <v>683</v>
      </c>
      <c r="B119" s="373" t="str">
        <f>'Component Unit Template'!A226</f>
        <v>Expenses For Security Lending Transactions</v>
      </c>
      <c r="C119" s="378" t="str">
        <f>'Component Unit Template'!M226</f>
        <v/>
      </c>
      <c r="D119" s="380" t="str">
        <f>'Component Unit Template'!N226</f>
        <v/>
      </c>
      <c r="E119" s="379" t="str">
        <f>IF('Component Unit Template'!O226="yes","Answer Required","N/A")</f>
        <v>N/A</v>
      </c>
    </row>
    <row r="120" spans="1:5">
      <c r="A120" s="381" t="s">
        <v>689</v>
      </c>
      <c r="B120" s="373"/>
      <c r="C120" s="378"/>
      <c r="D120" s="380"/>
      <c r="E120" s="389"/>
    </row>
    <row r="121" spans="1:5" ht="24">
      <c r="A121" s="377" t="s">
        <v>683</v>
      </c>
      <c r="B121" s="373" t="s">
        <v>447</v>
      </c>
      <c r="C121" s="378" t="str">
        <f>'Component Unit Template'!M233</f>
        <v/>
      </c>
      <c r="D121" s="380" t="str">
        <f>'Component Unit Template'!N233</f>
        <v/>
      </c>
      <c r="E121" s="379" t="str">
        <f>IF('Component Unit Template'!O233="yes","Answer Required","N/A")</f>
        <v>N/A</v>
      </c>
    </row>
    <row r="122" spans="1:5">
      <c r="A122" s="377" t="s">
        <v>683</v>
      </c>
      <c r="B122" s="373" t="s">
        <v>448</v>
      </c>
      <c r="C122" s="378" t="str">
        <f>'Component Unit Template'!M234</f>
        <v/>
      </c>
      <c r="D122" s="380" t="str">
        <f>'Component Unit Template'!N234</f>
        <v/>
      </c>
      <c r="E122" s="379" t="str">
        <f>IF('Component Unit Template'!O234="yes","Answer Required","N/A")</f>
        <v>N/A</v>
      </c>
    </row>
    <row r="123" spans="1:5">
      <c r="A123" s="377" t="s">
        <v>683</v>
      </c>
      <c r="B123" s="373" t="s">
        <v>449</v>
      </c>
      <c r="C123" s="378" t="str">
        <f>'Component Unit Template'!M235</f>
        <v/>
      </c>
      <c r="D123" s="380" t="str">
        <f>'Component Unit Template'!N235</f>
        <v/>
      </c>
      <c r="E123" s="379" t="str">
        <f>IF('Component Unit Template'!O235="yes","Answer Required","N/A")</f>
        <v>N/A</v>
      </c>
    </row>
    <row r="124" spans="1:5">
      <c r="A124" s="377" t="s">
        <v>683</v>
      </c>
      <c r="B124" s="373" t="s">
        <v>39</v>
      </c>
      <c r="C124" s="378" t="str">
        <f>'Component Unit Template'!M236</f>
        <v/>
      </c>
      <c r="D124" s="380" t="str">
        <f>'Component Unit Template'!N236</f>
        <v/>
      </c>
      <c r="E124" s="379" t="str">
        <f>IF('Component Unit Template'!O236="yes","Answer Required","N/A")</f>
        <v>N/A</v>
      </c>
    </row>
    <row r="125" spans="1:5">
      <c r="A125" s="377" t="s">
        <v>683</v>
      </c>
      <c r="B125" s="373" t="s">
        <v>886</v>
      </c>
      <c r="C125" s="378" t="str">
        <f>'Component Unit Template'!M237</f>
        <v/>
      </c>
      <c r="D125" s="380" t="str">
        <f>'Component Unit Template'!N237</f>
        <v/>
      </c>
      <c r="E125" s="379" t="str">
        <f>IF('Component Unit Template'!O237="yes","Answer Required","N/A")</f>
        <v>N/A</v>
      </c>
    </row>
    <row r="126" spans="1:5">
      <c r="A126" s="377" t="s">
        <v>683</v>
      </c>
      <c r="B126" s="373" t="s">
        <v>361</v>
      </c>
      <c r="C126" s="378" t="str">
        <f>'Component Unit Template'!M238</f>
        <v/>
      </c>
      <c r="D126" s="380" t="str">
        <f>'Component Unit Template'!N238</f>
        <v/>
      </c>
      <c r="E126" s="379" t="str">
        <f>IF('Component Unit Template'!O238="yes","Answer Required","N/A")</f>
        <v>N/A</v>
      </c>
    </row>
    <row r="127" spans="1:5" hidden="1">
      <c r="A127" s="377" t="s">
        <v>683</v>
      </c>
      <c r="B127" s="373" t="s">
        <v>450</v>
      </c>
      <c r="C127" s="378">
        <f>'Component Unit Template'!M239</f>
        <v>0</v>
      </c>
      <c r="D127" s="380">
        <f>'Component Unit Template'!N239</f>
        <v>0</v>
      </c>
      <c r="E127" s="379" t="str">
        <f>IF('Component Unit Template'!O239="yes","Answer Required","N/A")</f>
        <v>N/A</v>
      </c>
    </row>
    <row r="128" spans="1:5" hidden="1">
      <c r="A128" s="377" t="s">
        <v>683</v>
      </c>
      <c r="B128" s="373" t="s">
        <v>396</v>
      </c>
      <c r="C128" s="378">
        <f>'Component Unit Template'!M240</f>
        <v>0</v>
      </c>
      <c r="D128" s="380">
        <f>'Component Unit Template'!N240</f>
        <v>0</v>
      </c>
      <c r="E128" s="379" t="str">
        <f>IF('Component Unit Template'!O240="yes","Answer Required","N/A")</f>
        <v>N/A</v>
      </c>
    </row>
    <row r="129" spans="1:5">
      <c r="A129" s="377" t="s">
        <v>683</v>
      </c>
      <c r="B129" s="373" t="s">
        <v>887</v>
      </c>
      <c r="C129" s="378" t="str">
        <f>'Component Unit Template'!M241</f>
        <v/>
      </c>
      <c r="D129" s="380" t="str">
        <f>'Component Unit Template'!N241</f>
        <v/>
      </c>
      <c r="E129" s="379" t="str">
        <f>IF('Component Unit Template'!O241="yes","Answer Required","N/A")</f>
        <v>N/A</v>
      </c>
    </row>
    <row r="130" spans="1:5">
      <c r="A130" s="377" t="s">
        <v>683</v>
      </c>
      <c r="B130" s="373" t="s">
        <v>888</v>
      </c>
      <c r="C130" s="378" t="str">
        <f>'Component Unit Template'!M242</f>
        <v/>
      </c>
      <c r="D130" s="380" t="str">
        <f>'Component Unit Template'!N242</f>
        <v/>
      </c>
      <c r="E130" s="379" t="str">
        <f>IF('Component Unit Template'!O242="yes","Answer Required","N/A")</f>
        <v>N/A</v>
      </c>
    </row>
    <row r="131" spans="1:5" hidden="1">
      <c r="A131" s="377" t="s">
        <v>683</v>
      </c>
      <c r="B131" s="373" t="s">
        <v>452</v>
      </c>
      <c r="C131" s="378" t="str">
        <f>'Component Unit Template'!M243</f>
        <v/>
      </c>
      <c r="D131" s="380" t="str">
        <f>'Component Unit Template'!N243</f>
        <v/>
      </c>
      <c r="E131" s="379" t="str">
        <f>IF('Component Unit Template'!O243="yes","Answer Required","N/A")</f>
        <v>N/A</v>
      </c>
    </row>
    <row r="132" spans="1:5" hidden="1">
      <c r="A132" s="377"/>
      <c r="B132" s="373"/>
      <c r="C132" s="378"/>
      <c r="D132" s="380"/>
      <c r="E132" s="379"/>
    </row>
    <row r="133" spans="1:5">
      <c r="A133" s="377" t="s">
        <v>683</v>
      </c>
      <c r="B133" s="373" t="s">
        <v>811</v>
      </c>
      <c r="C133" s="378" t="str">
        <f>'Component Unit Template'!M245</f>
        <v/>
      </c>
      <c r="D133" s="380" t="str">
        <f>'Component Unit Template'!N245</f>
        <v/>
      </c>
      <c r="E133" s="379" t="str">
        <f>IF('Component Unit Template'!O245="yes","Answer Required","N/A")</f>
        <v>N/A</v>
      </c>
    </row>
    <row r="134" spans="1:5" hidden="1">
      <c r="A134" s="377" t="s">
        <v>683</v>
      </c>
      <c r="B134" s="373" t="s">
        <v>169</v>
      </c>
      <c r="C134" s="378" t="str">
        <f>'Component Unit Template'!M246</f>
        <v/>
      </c>
      <c r="D134" s="380" t="str">
        <f>'Component Unit Template'!N246</f>
        <v/>
      </c>
      <c r="E134" s="379" t="str">
        <f>IF('Component Unit Template'!O246="yes","Answer Required","N/A")</f>
        <v>N/A</v>
      </c>
    </row>
  </sheetData>
  <sheetProtection algorithmName="SHA-512" hashValue="+WW9d8uspgpbE7v4BFgQQdFAL7vp3PwAvsdkz+Jl1Od1NZiqTtYwOulsJg30WdnYMAFo/P1pkySMM9xgCG6E/g==" saltValue="b3Nf5p4qv7HQiU13NpB2pA==" spinCount="100000" sheet="1" objects="1" scenarios="1"/>
  <customSheetViews>
    <customSheetView guid="{21549FED-0843-409C-B56D-2EB16B98EF5E}" hiddenRows="1" topLeftCell="A16">
      <selection activeCell="A6" sqref="A6:C6"/>
      <rowBreaks count="2" manualBreakCount="2">
        <brk id="57" max="16383" man="1"/>
        <brk id="106" max="16383" man="1"/>
      </rowBreaks>
      <pageMargins left="0.7" right="0.7" top="0.75" bottom="0.75" header="0.3" footer="0.3"/>
      <pageSetup scale="67" orientation="portrait" cellComments="asDisplayed" r:id="rId1"/>
      <headerFooter>
        <oddHeader>&amp;C&amp;"Times New Roman,Bold"Attachment CU4 - FASB Foundations
Financial Statement Template (FST)
&amp;A</oddHeader>
        <oddFooter>&amp;L&amp;"Times New Roman,Regular"&amp;F \ &amp;A&amp;R&amp;"Times New Roman,Regular" Page &amp;P</oddFooter>
      </headerFooter>
    </customSheetView>
  </customSheetViews>
  <mergeCells count="13">
    <mergeCell ref="A1:C1"/>
    <mergeCell ref="D1:E1"/>
    <mergeCell ref="A2:C2"/>
    <mergeCell ref="D2:E2"/>
    <mergeCell ref="A3:C3"/>
    <mergeCell ref="D3:E3"/>
    <mergeCell ref="C12:D12"/>
    <mergeCell ref="A4:C4"/>
    <mergeCell ref="D4:E4"/>
    <mergeCell ref="A5:C5"/>
    <mergeCell ref="D5:E5"/>
    <mergeCell ref="A6:C6"/>
    <mergeCell ref="D6:E6"/>
  </mergeCells>
  <conditionalFormatting sqref="E15:E99 E101:E134">
    <cfRule type="cellIs" dxfId="49" priority="1" operator="equal">
      <formula>"Answer Required"</formula>
    </cfRule>
  </conditionalFormatting>
  <pageMargins left="0.7" right="0.7" top="0.75" bottom="0.75" header="0.3" footer="0.3"/>
  <pageSetup scale="67" orientation="portrait" cellComments="asDisplayed" r:id="rId2"/>
  <headerFooter>
    <oddHeader>&amp;C&amp;"Times New Roman,Bold"Attachment CU4 - FASB Foundations
Financial Statement Template (FST)
&amp;A</oddHeader>
    <oddFooter>&amp;L&amp;"Times New Roman,Regular"&amp;F \ &amp;A&amp;RPage &amp;P</oddFooter>
  </headerFooter>
  <rowBreaks count="2" manualBreakCount="2">
    <brk id="58" max="16383" man="1"/>
    <brk id="110" max="16383" man="1"/>
  </row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1"/>
  <sheetViews>
    <sheetView showGridLines="0" zoomScale="90" zoomScaleNormal="90" zoomScaleSheetLayoutView="100" workbookViewId="0">
      <selection activeCell="C3" sqref="C3:E3"/>
    </sheetView>
  </sheetViews>
  <sheetFormatPr defaultColWidth="9.140625" defaultRowHeight="12.75"/>
  <cols>
    <col min="1" max="1" width="11.85546875" style="236" customWidth="1"/>
    <col min="2" max="2" width="20.7109375" style="236" customWidth="1"/>
    <col min="3" max="3" width="18.5703125" style="236" customWidth="1"/>
    <col min="4" max="4" width="28.5703125" style="236" customWidth="1"/>
    <col min="5" max="5" width="19.5703125" style="236" customWidth="1"/>
    <col min="6" max="6" width="20.28515625" style="236" customWidth="1"/>
    <col min="7" max="7" width="23.140625" style="236" customWidth="1"/>
    <col min="8" max="8" width="23.42578125" style="236" customWidth="1"/>
    <col min="9" max="9" width="3.42578125" style="236" customWidth="1"/>
    <col min="10" max="10" width="26.140625" style="236" customWidth="1"/>
    <col min="11" max="16384" width="9.140625" style="236"/>
  </cols>
  <sheetData>
    <row r="1" spans="1:8" ht="12.75" customHeight="1">
      <c r="A1" s="612" t="s">
        <v>392</v>
      </c>
      <c r="B1" s="613"/>
      <c r="C1" s="614" t="str">
        <f>'Component Unit Template'!G1</f>
        <v/>
      </c>
      <c r="D1" s="615"/>
      <c r="E1" s="616"/>
    </row>
    <row r="2" spans="1:8" ht="12.75" customHeight="1">
      <c r="A2" s="617" t="s">
        <v>404</v>
      </c>
      <c r="B2" s="618"/>
      <c r="C2" s="614" t="str">
        <f>IF('Component Unit Template'!G2="","",'Component Unit Template'!G2)</f>
        <v/>
      </c>
      <c r="D2" s="619"/>
      <c r="E2" s="620"/>
      <c r="F2" s="29"/>
      <c r="G2" s="29"/>
      <c r="H2" s="27"/>
    </row>
    <row r="3" spans="1:8">
      <c r="A3" s="617" t="s">
        <v>369</v>
      </c>
      <c r="B3" s="618"/>
      <c r="C3" s="621" t="str">
        <f>IF('Component Unit Template'!G3="","",'Component Unit Template'!G3)</f>
        <v/>
      </c>
      <c r="D3" s="622"/>
      <c r="E3" s="623"/>
      <c r="F3" s="29"/>
      <c r="G3" s="29"/>
      <c r="H3" s="27"/>
    </row>
    <row r="4" spans="1:8">
      <c r="A4" s="617" t="s">
        <v>255</v>
      </c>
      <c r="B4" s="618"/>
      <c r="C4" s="562" t="str">
        <f>IF('Component Unit Template'!G4="","",'Component Unit Template'!G4)</f>
        <v/>
      </c>
      <c r="D4" s="563"/>
      <c r="E4" s="564"/>
      <c r="F4" s="29"/>
      <c r="G4" s="29"/>
      <c r="H4" s="27"/>
    </row>
    <row r="5" spans="1:8">
      <c r="A5" s="617" t="s">
        <v>511</v>
      </c>
      <c r="B5" s="618"/>
      <c r="C5" s="624" t="str">
        <f>IF('Component Unit Template'!G5="","",'Component Unit Template'!G5)</f>
        <v/>
      </c>
      <c r="D5" s="625"/>
      <c r="E5" s="626"/>
      <c r="F5" s="29"/>
      <c r="G5" s="29"/>
      <c r="H5" s="27"/>
    </row>
    <row r="6" spans="1:8">
      <c r="A6" s="617" t="s">
        <v>35</v>
      </c>
      <c r="B6" s="618"/>
      <c r="C6" s="627" t="str">
        <f>IF('Component Unit Template'!G6="","",'Component Unit Template'!G6)</f>
        <v/>
      </c>
      <c r="D6" s="628"/>
      <c r="E6" s="629"/>
      <c r="F6" s="30"/>
      <c r="G6" s="30"/>
      <c r="H6" s="27"/>
    </row>
    <row r="7" spans="1:8">
      <c r="A7" s="61"/>
      <c r="B7" s="30"/>
      <c r="C7" s="29"/>
      <c r="D7" s="29"/>
      <c r="E7" s="29"/>
      <c r="F7" s="30"/>
      <c r="G7" s="30"/>
      <c r="H7" s="27"/>
    </row>
    <row r="8" spans="1:8" hidden="1">
      <c r="A8" s="413"/>
      <c r="B8" s="414"/>
      <c r="C8" s="412"/>
      <c r="D8" s="412"/>
      <c r="E8" s="412"/>
      <c r="F8" s="414"/>
      <c r="G8" s="414"/>
      <c r="H8" s="27"/>
    </row>
    <row r="9" spans="1:8" hidden="1">
      <c r="A9" s="413"/>
      <c r="B9" s="414"/>
      <c r="C9" s="412"/>
      <c r="D9" s="412"/>
      <c r="E9" s="412"/>
      <c r="F9" s="414"/>
      <c r="G9" s="414"/>
      <c r="H9" s="27"/>
    </row>
    <row r="10" spans="1:8" hidden="1">
      <c r="A10" s="61"/>
      <c r="B10" s="30"/>
      <c r="C10" s="29"/>
      <c r="D10" s="29"/>
      <c r="E10" s="29"/>
      <c r="F10" s="30"/>
      <c r="G10" s="30"/>
      <c r="H10" s="27"/>
    </row>
    <row r="11" spans="1:8" hidden="1">
      <c r="A11" s="415"/>
      <c r="B11" s="29"/>
      <c r="C11" s="29"/>
      <c r="D11" s="29"/>
      <c r="E11" s="29"/>
      <c r="F11" s="30"/>
      <c r="G11" s="30"/>
      <c r="H11" s="27"/>
    </row>
    <row r="12" spans="1:8" hidden="1">
      <c r="A12" s="415"/>
      <c r="B12" s="29"/>
      <c r="C12" s="29"/>
      <c r="D12" s="29"/>
      <c r="E12" s="29"/>
      <c r="F12" s="30"/>
      <c r="G12" s="30"/>
      <c r="H12" s="27"/>
    </row>
    <row r="13" spans="1:8" hidden="1">
      <c r="A13" s="415"/>
      <c r="B13" s="29"/>
      <c r="C13" s="29"/>
      <c r="D13" s="29"/>
      <c r="E13" s="29"/>
      <c r="F13" s="30"/>
      <c r="G13" s="30"/>
      <c r="H13" s="27"/>
    </row>
    <row r="14" spans="1:8" hidden="1">
      <c r="A14" s="415"/>
      <c r="B14" s="29"/>
      <c r="C14" s="29"/>
      <c r="D14" s="29"/>
      <c r="E14" s="29"/>
      <c r="F14" s="30"/>
      <c r="G14" s="30"/>
      <c r="H14" s="27"/>
    </row>
    <row r="15" spans="1:8" hidden="1">
      <c r="A15" s="415"/>
      <c r="B15" s="29"/>
      <c r="C15" s="29"/>
      <c r="D15" s="29"/>
      <c r="E15" s="29"/>
      <c r="F15" s="30"/>
      <c r="G15" s="30"/>
      <c r="H15" s="27"/>
    </row>
    <row r="16" spans="1:8" hidden="1">
      <c r="A16" s="415"/>
      <c r="B16" s="29"/>
      <c r="C16" s="29"/>
      <c r="D16" s="29"/>
      <c r="E16" s="29"/>
      <c r="F16" s="30"/>
      <c r="G16" s="30"/>
      <c r="H16" s="27"/>
    </row>
    <row r="17" spans="1:8" hidden="1">
      <c r="A17" s="415"/>
      <c r="B17" s="29"/>
      <c r="C17" s="29"/>
      <c r="D17" s="29"/>
      <c r="E17" s="29"/>
      <c r="F17" s="30"/>
      <c r="G17" s="30"/>
      <c r="H17" s="27"/>
    </row>
    <row r="18" spans="1:8" ht="30.75" hidden="1" customHeight="1">
      <c r="A18" s="415"/>
      <c r="B18" s="29"/>
      <c r="C18" s="29"/>
      <c r="D18" s="29"/>
      <c r="E18" s="29"/>
      <c r="F18" s="30"/>
      <c r="G18" s="30"/>
      <c r="H18" s="27"/>
    </row>
    <row r="19" spans="1:8" ht="27" hidden="1" customHeight="1">
      <c r="A19" s="415"/>
      <c r="B19" s="29"/>
      <c r="C19" s="29"/>
      <c r="D19" s="29"/>
      <c r="E19" s="29"/>
      <c r="F19" s="30"/>
      <c r="G19" s="30"/>
      <c r="H19" s="27"/>
    </row>
    <row r="20" spans="1:8" ht="12.75" hidden="1" customHeight="1">
      <c r="A20" s="415"/>
      <c r="B20" s="29"/>
      <c r="C20" s="29"/>
      <c r="D20" s="29"/>
      <c r="E20" s="29"/>
      <c r="F20" s="30"/>
      <c r="G20" s="30"/>
      <c r="H20" s="27"/>
    </row>
    <row r="21" spans="1:8" hidden="1">
      <c r="A21" s="415"/>
      <c r="B21" s="29"/>
      <c r="C21" s="29"/>
      <c r="D21" s="29"/>
      <c r="E21" s="29"/>
      <c r="F21" s="30"/>
      <c r="G21" s="30"/>
      <c r="H21" s="27"/>
    </row>
    <row r="22" spans="1:8" hidden="1">
      <c r="A22" s="415"/>
      <c r="B22" s="29"/>
      <c r="C22" s="29"/>
      <c r="D22" s="29"/>
      <c r="E22" s="29"/>
      <c r="F22" s="30"/>
      <c r="G22" s="30"/>
      <c r="H22" s="27"/>
    </row>
    <row r="23" spans="1:8" hidden="1">
      <c r="A23" s="415"/>
      <c r="B23" s="29"/>
      <c r="C23" s="29"/>
      <c r="D23" s="29"/>
      <c r="E23" s="29"/>
      <c r="F23" s="30"/>
      <c r="G23" s="30"/>
      <c r="H23" s="27"/>
    </row>
    <row r="24" spans="1:8" hidden="1">
      <c r="A24" s="415"/>
      <c r="B24" s="29"/>
      <c r="C24" s="29"/>
      <c r="D24" s="29"/>
      <c r="E24" s="29"/>
      <c r="F24" s="30"/>
      <c r="G24" s="30"/>
      <c r="H24" s="27"/>
    </row>
    <row r="25" spans="1:8" hidden="1">
      <c r="A25" s="415"/>
      <c r="B25" s="29"/>
      <c r="C25" s="29"/>
      <c r="D25" s="29"/>
      <c r="E25" s="29"/>
      <c r="F25" s="30"/>
      <c r="G25" s="30"/>
      <c r="H25" s="27"/>
    </row>
    <row r="26" spans="1:8">
      <c r="A26" s="26" t="s">
        <v>401</v>
      </c>
      <c r="B26" s="324"/>
      <c r="C26" s="308"/>
      <c r="D26" s="308"/>
      <c r="E26" s="29"/>
      <c r="F26" s="30"/>
      <c r="G26" s="30"/>
      <c r="H26" s="27"/>
    </row>
    <row r="27" spans="1:8">
      <c r="A27" s="26" t="str">
        <f>'Component Unit Template'!A35</f>
        <v>For the Year Ended June 30, 2024</v>
      </c>
      <c r="B27" s="324"/>
      <c r="C27" s="308"/>
      <c r="D27" s="308"/>
      <c r="E27" s="29"/>
      <c r="F27" s="30"/>
      <c r="G27" s="30"/>
      <c r="H27" s="27"/>
    </row>
    <row r="28" spans="1:8" ht="13.5" thickBot="1">
      <c r="A28" s="62"/>
      <c r="B28" s="63"/>
      <c r="C28" s="64"/>
      <c r="D28" s="64"/>
      <c r="E28" s="64"/>
      <c r="F28" s="63"/>
      <c r="G28" s="63"/>
      <c r="H28" s="65"/>
    </row>
    <row r="29" spans="1:8">
      <c r="A29" s="61"/>
      <c r="B29" s="30"/>
      <c r="C29" s="29"/>
      <c r="D29" s="29"/>
      <c r="E29" s="29"/>
      <c r="F29" s="30"/>
      <c r="G29" s="30"/>
      <c r="H29" s="27"/>
    </row>
    <row r="30" spans="1:8">
      <c r="A30" s="61"/>
      <c r="B30" s="30"/>
      <c r="C30" s="29"/>
      <c r="D30" s="29"/>
      <c r="E30" s="29"/>
      <c r="F30" s="30"/>
      <c r="G30" s="30"/>
      <c r="H30" s="27"/>
    </row>
    <row r="31" spans="1:8">
      <c r="A31" s="39" t="s">
        <v>349</v>
      </c>
      <c r="B31" s="27" t="s">
        <v>77</v>
      </c>
      <c r="C31" s="31"/>
      <c r="D31" s="29"/>
      <c r="E31" s="27"/>
      <c r="F31" s="27"/>
      <c r="G31" s="27"/>
      <c r="H31" s="38">
        <f>'Component Unit Template'!K40</f>
        <v>0</v>
      </c>
    </row>
    <row r="32" spans="1:8">
      <c r="A32" s="39"/>
      <c r="B32" s="27" t="s">
        <v>34</v>
      </c>
      <c r="C32" s="31"/>
      <c r="D32" s="29"/>
      <c r="E32" s="27"/>
      <c r="F32" s="27"/>
      <c r="G32" s="27"/>
      <c r="H32" s="38">
        <f>'Component Unit Template'!K88</f>
        <v>0</v>
      </c>
    </row>
    <row r="33" spans="1:9" ht="13.5" thickBot="1">
      <c r="A33" s="39"/>
      <c r="B33" s="27" t="s">
        <v>645</v>
      </c>
      <c r="C33" s="31"/>
      <c r="D33" s="29"/>
      <c r="E33" s="27"/>
      <c r="F33" s="27"/>
      <c r="G33" s="27"/>
      <c r="H33" s="66">
        <f>H31+H32</f>
        <v>0</v>
      </c>
    </row>
    <row r="34" spans="1:9" ht="13.5" thickTop="1">
      <c r="A34" s="39"/>
      <c r="B34" s="26" t="s">
        <v>154</v>
      </c>
      <c r="C34" s="31"/>
      <c r="D34" s="29"/>
      <c r="E34" s="27"/>
      <c r="F34" s="27"/>
      <c r="G34" s="27"/>
      <c r="H34" s="33"/>
    </row>
    <row r="35" spans="1:9">
      <c r="A35" s="39"/>
      <c r="B35" s="27" t="s">
        <v>794</v>
      </c>
      <c r="C35" s="31"/>
      <c r="D35" s="29"/>
      <c r="E35" s="27"/>
      <c r="F35" s="27"/>
      <c r="G35" s="120"/>
      <c r="H35" s="529" t="str">
        <f>IF(H33&lt;0,"Answer Required","")</f>
        <v/>
      </c>
    </row>
    <row r="36" spans="1:9">
      <c r="A36" s="39"/>
      <c r="B36" s="27"/>
      <c r="C36" s="31"/>
      <c r="D36" s="29"/>
      <c r="E36" s="27"/>
      <c r="F36" s="27"/>
      <c r="G36" s="27"/>
      <c r="H36" s="33"/>
    </row>
    <row r="37" spans="1:9">
      <c r="A37" s="39" t="s">
        <v>350</v>
      </c>
      <c r="B37" s="26" t="s">
        <v>652</v>
      </c>
      <c r="C37" s="31"/>
      <c r="D37" s="29"/>
      <c r="E37" s="27"/>
      <c r="F37" s="27"/>
      <c r="G37" s="27"/>
      <c r="H37" s="27"/>
    </row>
    <row r="38" spans="1:9">
      <c r="A38" s="39"/>
      <c r="B38" s="27" t="s">
        <v>351</v>
      </c>
      <c r="C38" s="31"/>
      <c r="D38" s="29"/>
      <c r="E38" s="27"/>
      <c r="F38" s="27"/>
      <c r="G38" s="27"/>
      <c r="H38" s="91">
        <f>'Component Unit Template'!K41</f>
        <v>0</v>
      </c>
    </row>
    <row r="39" spans="1:9" ht="15">
      <c r="A39" s="39"/>
      <c r="B39" s="27" t="s">
        <v>379</v>
      </c>
      <c r="C39" s="31"/>
      <c r="D39" s="29"/>
      <c r="E39" s="27"/>
      <c r="F39" s="27"/>
      <c r="G39" s="27"/>
      <c r="H39" s="32"/>
      <c r="I39" s="314" t="str">
        <f>IF(AND(H38&gt;0,H39=""),"Answer Required","")</f>
        <v/>
      </c>
    </row>
    <row r="40" spans="1:9">
      <c r="A40" s="39"/>
      <c r="B40" s="27" t="s">
        <v>795</v>
      </c>
      <c r="C40" s="31"/>
      <c r="D40" s="29"/>
      <c r="E40" s="27"/>
      <c r="F40" s="27"/>
      <c r="G40" s="27"/>
      <c r="H40" s="529" t="str">
        <f>IF(H38&lt;0,"Answer Required","")</f>
        <v/>
      </c>
    </row>
    <row r="41" spans="1:9" ht="9.75" hidden="1" customHeight="1">
      <c r="A41" s="39"/>
      <c r="B41" s="27"/>
      <c r="C41" s="31"/>
      <c r="D41" s="29"/>
      <c r="E41" s="27"/>
      <c r="F41" s="27"/>
      <c r="G41" s="27"/>
      <c r="H41" s="33"/>
    </row>
    <row r="42" spans="1:9" hidden="1">
      <c r="A42" s="410"/>
      <c r="B42" s="362"/>
      <c r="C42" s="411"/>
      <c r="D42" s="412"/>
      <c r="E42" s="27"/>
      <c r="F42" s="27"/>
      <c r="G42" s="120"/>
      <c r="H42" s="271"/>
    </row>
    <row r="43" spans="1:9" hidden="1">
      <c r="A43" s="39"/>
      <c r="B43" s="362"/>
      <c r="C43" s="411"/>
      <c r="D43" s="29"/>
      <c r="E43" s="27"/>
      <c r="F43" s="27"/>
      <c r="G43" s="120"/>
      <c r="H43" s="271"/>
    </row>
    <row r="44" spans="1:9" hidden="1">
      <c r="A44" s="39"/>
      <c r="B44" s="362"/>
      <c r="C44" s="411"/>
      <c r="D44" s="412"/>
      <c r="E44" s="27"/>
      <c r="F44" s="27"/>
      <c r="G44" s="120"/>
      <c r="H44" s="272"/>
    </row>
    <row r="45" spans="1:9" hidden="1">
      <c r="A45" s="39"/>
      <c r="B45" s="362"/>
      <c r="C45" s="411"/>
      <c r="D45" s="29"/>
      <c r="E45" s="27"/>
      <c r="F45" s="27"/>
      <c r="G45" s="120"/>
      <c r="H45" s="272"/>
    </row>
    <row r="46" spans="1:9" hidden="1">
      <c r="A46" s="39"/>
      <c r="B46" s="362"/>
      <c r="C46" s="411"/>
      <c r="D46" s="412"/>
      <c r="E46" s="27"/>
      <c r="F46" s="27"/>
      <c r="G46" s="120"/>
      <c r="H46" s="273">
        <f>H44+H45</f>
        <v>0</v>
      </c>
    </row>
    <row r="47" spans="1:9" hidden="1">
      <c r="A47" s="39"/>
      <c r="B47" s="362"/>
      <c r="C47" s="411"/>
      <c r="D47" s="412"/>
      <c r="E47" s="362"/>
      <c r="F47" s="27"/>
      <c r="G47" s="120"/>
      <c r="H47" s="272"/>
    </row>
    <row r="48" spans="1:9" ht="9.75" hidden="1" customHeight="1">
      <c r="A48" s="266"/>
      <c r="B48" s="267"/>
      <c r="C48" s="268"/>
      <c r="D48" s="269"/>
      <c r="E48" s="267"/>
      <c r="F48" s="267"/>
      <c r="G48" s="270"/>
      <c r="H48" s="325"/>
    </row>
    <row r="49" spans="1:10" hidden="1">
      <c r="A49" s="410"/>
      <c r="B49" s="362"/>
      <c r="C49" s="411"/>
      <c r="D49" s="29"/>
      <c r="E49" s="27"/>
      <c r="F49" s="27"/>
      <c r="G49" s="120"/>
      <c r="H49" s="273">
        <f>H39+H47</f>
        <v>0</v>
      </c>
      <c r="J49" s="27"/>
    </row>
    <row r="50" spans="1:10" ht="12.75" customHeight="1">
      <c r="A50" s="266"/>
      <c r="B50" s="267"/>
      <c r="C50" s="268"/>
      <c r="D50" s="269"/>
      <c r="E50" s="267"/>
      <c r="F50" s="267"/>
      <c r="G50" s="270"/>
      <c r="H50" s="325"/>
      <c r="J50" s="27"/>
    </row>
    <row r="51" spans="1:10">
      <c r="A51" s="39" t="s">
        <v>352</v>
      </c>
      <c r="B51" s="27" t="s">
        <v>694</v>
      </c>
      <c r="C51" s="31"/>
      <c r="D51" s="29"/>
      <c r="E51" s="27"/>
      <c r="F51" s="27"/>
      <c r="G51" s="27"/>
      <c r="H51" s="36" t="s">
        <v>378</v>
      </c>
    </row>
    <row r="52" spans="1:10" ht="15">
      <c r="A52" s="39"/>
      <c r="B52" s="27" t="s">
        <v>784</v>
      </c>
      <c r="C52" s="31"/>
      <c r="D52" s="29"/>
      <c r="E52" s="27"/>
      <c r="F52" s="27"/>
      <c r="G52" s="27"/>
      <c r="H52" s="363" t="str">
        <f>IF(H39=0,"","Answer Required")</f>
        <v/>
      </c>
      <c r="I52" s="314" t="str">
        <f>IF(AND(H39&gt;0,H52=""),"Answer Required","")</f>
        <v/>
      </c>
    </row>
    <row r="53" spans="1:10">
      <c r="A53" s="39"/>
      <c r="B53" s="27"/>
      <c r="C53" s="31"/>
      <c r="D53" s="29"/>
      <c r="E53" s="34"/>
      <c r="F53" s="34"/>
      <c r="G53" s="34"/>
      <c r="H53" s="27"/>
    </row>
    <row r="54" spans="1:10" hidden="1">
      <c r="A54" s="35"/>
      <c r="B54" s="361"/>
      <c r="C54" s="329"/>
      <c r="D54" s="329"/>
      <c r="E54" s="34"/>
      <c r="F54" s="34"/>
      <c r="G54" s="34"/>
      <c r="H54" s="32"/>
    </row>
    <row r="55" spans="1:10" hidden="1">
      <c r="A55" s="39"/>
      <c r="B55" s="27"/>
      <c r="C55" s="31"/>
      <c r="D55" s="29"/>
      <c r="E55" s="27"/>
      <c r="F55" s="27"/>
      <c r="G55" s="27"/>
      <c r="H55" s="27"/>
    </row>
    <row r="56" spans="1:10" hidden="1">
      <c r="A56" s="39"/>
      <c r="B56" s="362"/>
      <c r="C56" s="27"/>
      <c r="D56" s="27"/>
      <c r="E56" s="27"/>
      <c r="F56" s="36"/>
      <c r="G56" s="27"/>
      <c r="H56" s="27"/>
    </row>
    <row r="57" spans="1:10" hidden="1">
      <c r="A57" s="39"/>
      <c r="B57" s="362"/>
      <c r="C57" s="27"/>
      <c r="D57" s="27"/>
      <c r="E57" s="27"/>
      <c r="F57" s="36"/>
      <c r="G57" s="27"/>
      <c r="H57" s="27"/>
    </row>
    <row r="58" spans="1:10" hidden="1">
      <c r="A58" s="39"/>
      <c r="B58" s="362"/>
      <c r="C58" s="27"/>
      <c r="D58" s="27"/>
      <c r="E58" s="27"/>
      <c r="F58" s="27"/>
      <c r="G58" s="27"/>
      <c r="H58" s="32"/>
    </row>
    <row r="59" spans="1:10" hidden="1">
      <c r="A59" s="39"/>
      <c r="B59" s="362"/>
      <c r="C59" s="27"/>
      <c r="D59" s="27"/>
      <c r="E59" s="27"/>
      <c r="F59" s="27"/>
      <c r="G59" s="27"/>
      <c r="H59" s="32"/>
    </row>
    <row r="60" spans="1:10" hidden="1">
      <c r="A60" s="39"/>
      <c r="B60" s="362"/>
      <c r="C60" s="27"/>
      <c r="D60" s="27"/>
      <c r="E60" s="27"/>
      <c r="F60" s="27"/>
      <c r="G60" s="27"/>
      <c r="H60" s="32"/>
    </row>
    <row r="61" spans="1:10" hidden="1">
      <c r="A61" s="39"/>
      <c r="B61" s="27"/>
      <c r="C61" s="31"/>
      <c r="D61" s="29"/>
      <c r="E61" s="27"/>
      <c r="F61" s="27"/>
      <c r="G61" s="27"/>
      <c r="H61" s="37"/>
      <c r="J61" s="244"/>
    </row>
    <row r="62" spans="1:10" ht="13.5" hidden="1" thickBot="1">
      <c r="A62" s="39"/>
      <c r="B62" s="362"/>
      <c r="C62" s="31"/>
      <c r="D62" s="29"/>
      <c r="E62" s="27"/>
      <c r="F62" s="27"/>
      <c r="G62" s="27"/>
      <c r="H62" s="67"/>
      <c r="J62" s="237"/>
    </row>
    <row r="63" spans="1:10" ht="13.5" hidden="1" thickTop="1">
      <c r="A63" s="39"/>
      <c r="B63" s="27"/>
      <c r="C63" s="31"/>
      <c r="D63" s="29"/>
      <c r="E63" s="27"/>
      <c r="F63" s="27"/>
      <c r="G63" s="27"/>
      <c r="H63" s="33"/>
    </row>
    <row r="64" spans="1:10" hidden="1">
      <c r="A64" s="39"/>
      <c r="B64" s="362"/>
      <c r="C64" s="31"/>
      <c r="D64" s="29"/>
      <c r="E64" s="27"/>
      <c r="F64" s="27"/>
      <c r="G64" s="27"/>
      <c r="H64" s="94"/>
    </row>
    <row r="65" spans="1:9" hidden="1">
      <c r="A65" s="39"/>
      <c r="B65" s="27"/>
      <c r="C65" s="31"/>
      <c r="D65" s="29"/>
      <c r="E65" s="27"/>
      <c r="F65" s="27"/>
      <c r="G65" s="27"/>
      <c r="H65" s="37"/>
    </row>
    <row r="66" spans="1:9">
      <c r="A66" s="39" t="s">
        <v>418</v>
      </c>
      <c r="B66" s="26" t="s">
        <v>651</v>
      </c>
      <c r="C66" s="31"/>
      <c r="D66" s="29"/>
      <c r="E66" s="27"/>
      <c r="F66" s="27"/>
      <c r="G66" s="27"/>
      <c r="H66" s="27"/>
    </row>
    <row r="67" spans="1:9">
      <c r="A67" s="39"/>
      <c r="B67" s="27" t="s">
        <v>351</v>
      </c>
      <c r="C67" s="31"/>
      <c r="D67" s="29"/>
      <c r="E67" s="27"/>
      <c r="F67" s="27"/>
      <c r="G67" s="27"/>
      <c r="H67" s="91">
        <f>'Component Unit Template'!K89</f>
        <v>0</v>
      </c>
    </row>
    <row r="68" spans="1:9" ht="15">
      <c r="A68" s="39"/>
      <c r="B68" s="27" t="s">
        <v>379</v>
      </c>
      <c r="C68" s="31"/>
      <c r="D68" s="29"/>
      <c r="E68" s="27"/>
      <c r="F68" s="27"/>
      <c r="G68" s="27"/>
      <c r="H68" s="32"/>
      <c r="I68" s="314" t="str">
        <f>IF(AND(H67&gt;0,H68=""),"Answer Required","")</f>
        <v/>
      </c>
    </row>
    <row r="69" spans="1:9">
      <c r="A69" s="39"/>
      <c r="B69" s="27" t="s">
        <v>795</v>
      </c>
      <c r="C69" s="31"/>
      <c r="D69" s="29"/>
      <c r="E69" s="27"/>
      <c r="F69" s="27"/>
      <c r="G69" s="27"/>
      <c r="H69" s="529" t="str">
        <f>IF(H67&lt;0,"Answer Required","")</f>
        <v/>
      </c>
    </row>
    <row r="70" spans="1:9" ht="9.75" customHeight="1">
      <c r="A70" s="39"/>
      <c r="B70" s="27"/>
      <c r="C70" s="31"/>
      <c r="D70" s="29"/>
      <c r="E70" s="27"/>
      <c r="F70" s="27"/>
      <c r="G70" s="27"/>
      <c r="H70" s="27"/>
    </row>
    <row r="71" spans="1:9" hidden="1">
      <c r="A71" s="39"/>
      <c r="B71" s="27"/>
      <c r="C71" s="31"/>
      <c r="D71" s="29"/>
      <c r="E71" s="27"/>
      <c r="F71" s="27"/>
      <c r="G71" s="120"/>
      <c r="H71" s="271"/>
    </row>
    <row r="72" spans="1:9" hidden="1">
      <c r="A72" s="39"/>
      <c r="B72" s="27"/>
      <c r="C72" s="31"/>
      <c r="D72" s="29"/>
      <c r="E72" s="27"/>
      <c r="F72" s="27"/>
      <c r="G72" s="120"/>
      <c r="H72" s="271"/>
    </row>
    <row r="73" spans="1:9" hidden="1">
      <c r="A73" s="39"/>
      <c r="B73" s="27"/>
      <c r="C73" s="31"/>
      <c r="D73" s="29"/>
      <c r="E73" s="27"/>
      <c r="F73" s="27"/>
      <c r="G73" s="120"/>
      <c r="H73" s="272"/>
    </row>
    <row r="74" spans="1:9" hidden="1">
      <c r="A74" s="39"/>
      <c r="B74" s="27"/>
      <c r="C74" s="31"/>
      <c r="D74" s="29"/>
      <c r="E74" s="27"/>
      <c r="F74" s="27"/>
      <c r="G74" s="120"/>
      <c r="H74" s="272"/>
    </row>
    <row r="75" spans="1:9" hidden="1">
      <c r="A75" s="39"/>
      <c r="B75" s="27"/>
      <c r="C75" s="31"/>
      <c r="D75" s="29"/>
      <c r="E75" s="27"/>
      <c r="F75" s="27"/>
      <c r="G75" s="120"/>
      <c r="H75" s="273">
        <f>H73+H74</f>
        <v>0</v>
      </c>
    </row>
    <row r="76" spans="1:9" hidden="1">
      <c r="A76" s="39"/>
      <c r="B76" s="27"/>
      <c r="C76" s="31"/>
      <c r="D76" s="29"/>
      <c r="E76" s="27"/>
      <c r="F76" s="27"/>
      <c r="G76" s="120"/>
      <c r="H76" s="272"/>
    </row>
    <row r="77" spans="1:9" ht="9.75" hidden="1" customHeight="1">
      <c r="A77" s="266"/>
      <c r="B77" s="267"/>
      <c r="C77" s="268"/>
      <c r="D77" s="269"/>
      <c r="E77" s="267"/>
      <c r="F77" s="267"/>
      <c r="G77" s="270"/>
      <c r="H77" s="325"/>
    </row>
    <row r="78" spans="1:9" hidden="1">
      <c r="A78" s="39"/>
      <c r="B78" s="27"/>
      <c r="C78" s="31"/>
      <c r="D78" s="29"/>
      <c r="E78" s="27"/>
      <c r="F78" s="27"/>
      <c r="G78" s="120"/>
      <c r="H78" s="273">
        <f>H68+H76</f>
        <v>0</v>
      </c>
    </row>
    <row r="79" spans="1:9" hidden="1">
      <c r="A79" s="39"/>
      <c r="B79" s="27"/>
      <c r="C79" s="31"/>
      <c r="D79" s="29"/>
      <c r="E79" s="27"/>
      <c r="F79" s="27"/>
      <c r="G79" s="27"/>
      <c r="H79" s="27"/>
    </row>
    <row r="80" spans="1:9">
      <c r="A80" s="39" t="s">
        <v>76</v>
      </c>
      <c r="B80" s="27" t="s">
        <v>695</v>
      </c>
      <c r="C80" s="31"/>
      <c r="D80" s="29"/>
      <c r="E80" s="27"/>
      <c r="F80" s="27"/>
      <c r="G80" s="27"/>
      <c r="H80" s="36" t="s">
        <v>378</v>
      </c>
    </row>
    <row r="81" spans="1:10" ht="15">
      <c r="A81" s="39"/>
      <c r="B81" s="27" t="s">
        <v>784</v>
      </c>
      <c r="C81" s="31"/>
      <c r="D81" s="29"/>
      <c r="E81" s="27"/>
      <c r="F81" s="27"/>
      <c r="G81" s="27"/>
      <c r="H81" s="363" t="str">
        <f>IF(H68=0,"","Answer Required")</f>
        <v/>
      </c>
      <c r="I81" s="314" t="str">
        <f>IF(AND(H68&gt;0,H81=""),"Answer Required","")</f>
        <v/>
      </c>
    </row>
    <row r="82" spans="1:10">
      <c r="A82" s="39"/>
      <c r="B82" s="27"/>
      <c r="C82" s="31"/>
      <c r="D82" s="29"/>
      <c r="E82" s="34"/>
      <c r="F82" s="34"/>
      <c r="G82" s="34"/>
      <c r="H82" s="27"/>
    </row>
    <row r="83" spans="1:10" hidden="1">
      <c r="A83" s="35"/>
      <c r="B83" s="361"/>
      <c r="C83" s="329"/>
      <c r="D83" s="329"/>
      <c r="E83" s="34"/>
      <c r="F83" s="34"/>
      <c r="G83" s="34"/>
      <c r="H83" s="32"/>
    </row>
    <row r="84" spans="1:10" hidden="1">
      <c r="A84" s="39"/>
      <c r="B84" s="27"/>
      <c r="C84" s="31"/>
      <c r="D84" s="29"/>
      <c r="E84" s="27"/>
      <c r="F84" s="27"/>
      <c r="G84" s="27"/>
      <c r="H84" s="27"/>
    </row>
    <row r="85" spans="1:10" hidden="1">
      <c r="A85" s="39"/>
      <c r="B85" s="362"/>
      <c r="C85" s="27"/>
      <c r="D85" s="27"/>
      <c r="E85" s="27"/>
      <c r="F85" s="36"/>
      <c r="G85" s="27"/>
      <c r="H85" s="27"/>
    </row>
    <row r="86" spans="1:10" hidden="1">
      <c r="A86" s="39"/>
      <c r="B86" s="362"/>
      <c r="C86" s="27"/>
      <c r="D86" s="27"/>
      <c r="E86" s="27"/>
      <c r="F86" s="36"/>
      <c r="G86" s="27"/>
      <c r="H86" s="27"/>
    </row>
    <row r="87" spans="1:10" hidden="1">
      <c r="A87" s="39"/>
      <c r="B87" s="362"/>
      <c r="C87" s="27"/>
      <c r="D87" s="27"/>
      <c r="E87" s="27"/>
      <c r="F87" s="27"/>
      <c r="G87" s="27"/>
      <c r="H87" s="32"/>
    </row>
    <row r="88" spans="1:10" hidden="1">
      <c r="A88" s="39"/>
      <c r="B88" s="362"/>
      <c r="C88" s="27"/>
      <c r="D88" s="27"/>
      <c r="E88" s="27"/>
      <c r="F88" s="27"/>
      <c r="G88" s="27"/>
      <c r="H88" s="32"/>
    </row>
    <row r="89" spans="1:10" hidden="1">
      <c r="A89" s="39"/>
      <c r="B89" s="362"/>
      <c r="C89" s="27"/>
      <c r="D89" s="27"/>
      <c r="E89" s="27"/>
      <c r="F89" s="27"/>
      <c r="G89" s="27"/>
      <c r="H89" s="32"/>
    </row>
    <row r="90" spans="1:10" hidden="1">
      <c r="A90" s="39"/>
      <c r="B90" s="27"/>
      <c r="C90" s="27"/>
      <c r="D90" s="27"/>
      <c r="E90" s="27"/>
      <c r="F90" s="27"/>
      <c r="G90" s="27"/>
      <c r="H90" s="27"/>
    </row>
    <row r="91" spans="1:10" hidden="1">
      <c r="A91" s="39"/>
      <c r="B91" s="27"/>
      <c r="C91" s="31"/>
      <c r="D91" s="29"/>
      <c r="E91" s="27"/>
      <c r="F91" s="27"/>
      <c r="G91" s="27"/>
      <c r="H91" s="37"/>
      <c r="J91" s="244"/>
    </row>
    <row r="92" spans="1:10" ht="13.5" hidden="1" thickBot="1">
      <c r="A92" s="39"/>
      <c r="B92" s="362"/>
      <c r="C92" s="31"/>
      <c r="D92" s="29"/>
      <c r="E92" s="27"/>
      <c r="F92" s="27"/>
      <c r="G92" s="27"/>
      <c r="H92" s="67"/>
      <c r="J92" s="237"/>
    </row>
    <row r="93" spans="1:10" ht="13.5" hidden="1" thickTop="1">
      <c r="A93" s="39"/>
      <c r="B93" s="27"/>
      <c r="C93" s="31"/>
      <c r="D93" s="29"/>
      <c r="E93" s="27"/>
      <c r="F93" s="27"/>
      <c r="G93" s="27"/>
      <c r="H93" s="33"/>
    </row>
    <row r="94" spans="1:10" hidden="1">
      <c r="A94" s="39"/>
      <c r="B94" s="362"/>
      <c r="C94" s="31"/>
      <c r="D94" s="29"/>
      <c r="E94" s="27"/>
      <c r="F94" s="27"/>
      <c r="G94" s="27"/>
      <c r="H94" s="94"/>
    </row>
    <row r="95" spans="1:10" hidden="1">
      <c r="A95" s="39"/>
      <c r="B95" s="27"/>
      <c r="C95" s="31"/>
      <c r="D95" s="29"/>
      <c r="E95" s="27"/>
      <c r="F95" s="27"/>
      <c r="G95" s="27"/>
      <c r="H95" s="27"/>
    </row>
    <row r="96" spans="1:10">
      <c r="A96" s="39" t="s">
        <v>205</v>
      </c>
      <c r="B96" s="27" t="s">
        <v>705</v>
      </c>
      <c r="C96" s="31"/>
      <c r="D96" s="29"/>
      <c r="E96" s="27"/>
      <c r="F96" s="27"/>
      <c r="G96" s="27"/>
      <c r="H96" s="38">
        <f>H38+H67</f>
        <v>0</v>
      </c>
    </row>
    <row r="97" spans="1:8">
      <c r="A97" s="39"/>
      <c r="B97" s="27" t="s">
        <v>706</v>
      </c>
      <c r="C97" s="31"/>
      <c r="D97" s="29"/>
      <c r="E97" s="27"/>
      <c r="F97" s="27"/>
      <c r="G97" s="27"/>
      <c r="H97" s="38">
        <f>H39+H68</f>
        <v>0</v>
      </c>
    </row>
    <row r="98" spans="1:8">
      <c r="A98" s="39"/>
      <c r="B98" s="27"/>
      <c r="C98" s="31"/>
      <c r="D98" s="29"/>
      <c r="E98" s="27"/>
      <c r="F98" s="27"/>
      <c r="G98" s="27"/>
      <c r="H98" s="68"/>
    </row>
    <row r="99" spans="1:8">
      <c r="A99" s="79" t="s">
        <v>206</v>
      </c>
      <c r="B99" s="69" t="s">
        <v>696</v>
      </c>
      <c r="C99" s="69"/>
      <c r="D99" s="69"/>
      <c r="E99" s="27"/>
      <c r="F99" s="27"/>
      <c r="G99" s="27"/>
      <c r="H99" s="27"/>
    </row>
    <row r="100" spans="1:8">
      <c r="A100" s="79"/>
      <c r="B100" s="69"/>
      <c r="C100" s="69"/>
      <c r="D100" s="69"/>
      <c r="E100" s="27"/>
      <c r="F100" s="27"/>
      <c r="G100" s="27"/>
      <c r="H100" s="27"/>
    </row>
    <row r="101" spans="1:8">
      <c r="A101" s="79"/>
      <c r="B101" s="69" t="s">
        <v>112</v>
      </c>
      <c r="C101" s="69"/>
      <c r="D101" s="69"/>
      <c r="E101" s="27"/>
      <c r="F101" s="27"/>
      <c r="G101" s="27"/>
      <c r="H101" s="31" t="s">
        <v>176</v>
      </c>
    </row>
    <row r="102" spans="1:8" hidden="1">
      <c r="A102" s="69"/>
      <c r="B102" s="70" t="s">
        <v>113</v>
      </c>
      <c r="C102" s="71"/>
      <c r="D102" s="72"/>
      <c r="F102" s="27"/>
      <c r="G102" s="39" t="s">
        <v>64</v>
      </c>
      <c r="H102" s="91">
        <f>'Component Unit Template'!K45</f>
        <v>0</v>
      </c>
    </row>
    <row r="103" spans="1:8">
      <c r="A103" s="79"/>
      <c r="B103" s="70" t="s">
        <v>210</v>
      </c>
      <c r="C103" s="71"/>
      <c r="D103" s="72"/>
      <c r="E103" s="27"/>
      <c r="F103" s="27"/>
      <c r="G103" s="39" t="s">
        <v>64</v>
      </c>
      <c r="H103" s="91">
        <f>'Component Unit Template'!K92</f>
        <v>0</v>
      </c>
    </row>
    <row r="104" spans="1:8">
      <c r="A104" s="79"/>
      <c r="B104" s="70" t="s">
        <v>114</v>
      </c>
      <c r="C104" s="71"/>
      <c r="D104" s="72"/>
      <c r="E104" s="27"/>
      <c r="F104" s="27"/>
      <c r="G104" s="39" t="s">
        <v>64</v>
      </c>
      <c r="H104" s="91">
        <f>'Component Unit Template'!K47</f>
        <v>0</v>
      </c>
    </row>
    <row r="105" spans="1:8">
      <c r="A105" s="79"/>
      <c r="B105" s="73" t="s">
        <v>115</v>
      </c>
      <c r="C105" s="74"/>
      <c r="D105" s="75"/>
      <c r="E105" s="27"/>
      <c r="F105" s="27"/>
      <c r="G105" s="39" t="s">
        <v>64</v>
      </c>
      <c r="H105" s="91">
        <f>'Component Unit Template'!K94</f>
        <v>0</v>
      </c>
    </row>
    <row r="106" spans="1:8">
      <c r="A106" s="79"/>
      <c r="B106" s="69"/>
      <c r="C106" s="632" t="s">
        <v>871</v>
      </c>
      <c r="D106" s="633"/>
      <c r="E106" s="633"/>
      <c r="F106" s="633"/>
      <c r="G106" s="633"/>
      <c r="H106" s="169">
        <f>SUM(H102:H105)</f>
        <v>0</v>
      </c>
    </row>
    <row r="107" spans="1:8">
      <c r="A107" s="79"/>
      <c r="B107" s="69" t="s">
        <v>112</v>
      </c>
      <c r="C107" s="69"/>
      <c r="D107" s="69"/>
      <c r="E107" s="27"/>
      <c r="F107" s="27"/>
      <c r="G107" s="27"/>
      <c r="H107" s="31" t="s">
        <v>176</v>
      </c>
    </row>
    <row r="108" spans="1:8" hidden="1">
      <c r="A108" s="79"/>
      <c r="B108" s="70" t="s">
        <v>116</v>
      </c>
      <c r="C108" s="71"/>
      <c r="D108" s="72"/>
      <c r="E108" s="27"/>
      <c r="F108" s="27"/>
      <c r="G108" s="39" t="s">
        <v>64</v>
      </c>
      <c r="H108" s="91">
        <f>'Component Unit Template'!K51</f>
        <v>0</v>
      </c>
    </row>
    <row r="109" spans="1:8">
      <c r="A109" s="79"/>
      <c r="B109" s="70" t="s">
        <v>209</v>
      </c>
      <c r="C109" s="71"/>
      <c r="D109" s="72"/>
      <c r="E109" s="27"/>
      <c r="F109" s="27"/>
      <c r="G109" s="39" t="s">
        <v>64</v>
      </c>
      <c r="H109" s="91">
        <f>'Component Unit Template'!K98</f>
        <v>0</v>
      </c>
    </row>
    <row r="110" spans="1:8">
      <c r="A110" s="79"/>
      <c r="B110" s="70" t="s">
        <v>117</v>
      </c>
      <c r="C110" s="71"/>
      <c r="D110" s="72"/>
      <c r="E110" s="27"/>
      <c r="F110" s="27"/>
      <c r="G110" s="39" t="s">
        <v>64</v>
      </c>
      <c r="H110" s="91">
        <f>'Component Unit Template'!K55</f>
        <v>0</v>
      </c>
    </row>
    <row r="111" spans="1:8">
      <c r="A111" s="79"/>
      <c r="B111" s="73" t="s">
        <v>219</v>
      </c>
      <c r="C111" s="74"/>
      <c r="D111" s="75"/>
      <c r="E111" s="27"/>
      <c r="F111" s="27"/>
      <c r="G111" s="39" t="s">
        <v>64</v>
      </c>
      <c r="H111" s="91">
        <f>'Component Unit Template'!K101</f>
        <v>0</v>
      </c>
    </row>
    <row r="112" spans="1:8">
      <c r="A112" s="79"/>
      <c r="B112" s="69"/>
      <c r="C112" s="632" t="s">
        <v>872</v>
      </c>
      <c r="D112" s="633"/>
      <c r="E112" s="633"/>
      <c r="F112" s="633"/>
      <c r="G112" s="633"/>
      <c r="H112" s="168">
        <f>SUM(H108:H111)</f>
        <v>0</v>
      </c>
    </row>
    <row r="113" spans="1:10" ht="13.5" thickBot="1">
      <c r="A113" s="79"/>
      <c r="B113" s="69"/>
      <c r="C113" s="630" t="s">
        <v>785</v>
      </c>
      <c r="D113" s="631"/>
      <c r="E113" s="631"/>
      <c r="F113" s="631"/>
      <c r="G113" s="631"/>
      <c r="H113" s="167">
        <f>SUM(H106,H112)</f>
        <v>0</v>
      </c>
    </row>
    <row r="114" spans="1:10" ht="13.5" thickTop="1">
      <c r="A114" s="79"/>
      <c r="B114" s="69"/>
      <c r="C114" s="637" t="s">
        <v>647</v>
      </c>
      <c r="D114" s="631"/>
      <c r="E114" s="631"/>
      <c r="F114" s="631"/>
      <c r="G114" s="631"/>
      <c r="H114" s="76"/>
      <c r="J114" s="163" t="s">
        <v>48</v>
      </c>
    </row>
    <row r="115" spans="1:10">
      <c r="A115" s="79"/>
      <c r="B115" s="69"/>
      <c r="C115" s="637" t="s">
        <v>148</v>
      </c>
      <c r="D115" s="631"/>
      <c r="E115" s="631"/>
      <c r="F115" s="631"/>
      <c r="G115" s="638"/>
      <c r="H115" s="41" t="str">
        <f>IF(H113=SUM('Tab 1B-Cash Eq. &amp; Inv. Not w Tr'!F16:F45),"Agrees","ERROR")</f>
        <v>Agrees</v>
      </c>
      <c r="J115" s="123">
        <f>SUM(H113-SUM('Tab 1B-Cash Eq. &amp; Inv. Not w Tr'!F16:F45))</f>
        <v>0</v>
      </c>
    </row>
    <row r="116" spans="1:10">
      <c r="A116" s="79" t="s">
        <v>214</v>
      </c>
      <c r="B116" s="69" t="s">
        <v>220</v>
      </c>
      <c r="C116" s="69"/>
      <c r="D116" s="69"/>
      <c r="E116" s="69"/>
      <c r="F116" s="79"/>
      <c r="G116" s="69"/>
      <c r="H116" s="69"/>
    </row>
    <row r="117" spans="1:10">
      <c r="A117" s="77"/>
      <c r="B117" s="69" t="s">
        <v>693</v>
      </c>
      <c r="C117" s="78"/>
      <c r="D117" s="69"/>
      <c r="E117" s="69"/>
      <c r="F117" s="79"/>
      <c r="G117" s="69"/>
      <c r="H117" s="69"/>
    </row>
    <row r="118" spans="1:10">
      <c r="A118" s="77"/>
      <c r="B118" s="69"/>
      <c r="C118" s="78"/>
      <c r="D118" s="69"/>
      <c r="E118" s="69"/>
      <c r="F118" s="79"/>
      <c r="G118" s="69"/>
      <c r="H118" s="69"/>
    </row>
    <row r="119" spans="1:10">
      <c r="A119" s="77"/>
      <c r="B119" s="69"/>
      <c r="C119" s="78"/>
      <c r="D119" s="27" t="s">
        <v>215</v>
      </c>
      <c r="E119" s="27"/>
      <c r="F119" s="27"/>
      <c r="G119" s="27"/>
      <c r="H119" s="31" t="s">
        <v>176</v>
      </c>
    </row>
    <row r="120" spans="1:10">
      <c r="A120" s="79"/>
      <c r="B120" s="69"/>
      <c r="C120" s="69"/>
      <c r="D120" s="634"/>
      <c r="E120" s="635"/>
      <c r="F120" s="636"/>
      <c r="G120" s="27"/>
      <c r="H120" s="166"/>
    </row>
    <row r="121" spans="1:10">
      <c r="A121" s="79"/>
      <c r="B121" s="69"/>
      <c r="C121" s="69"/>
      <c r="D121" s="634"/>
      <c r="E121" s="635"/>
      <c r="F121" s="636"/>
      <c r="G121" s="27"/>
      <c r="H121" s="166"/>
    </row>
    <row r="122" spans="1:10">
      <c r="A122" s="79"/>
      <c r="B122" s="69"/>
      <c r="C122" s="69"/>
      <c r="D122" s="634"/>
      <c r="E122" s="635"/>
      <c r="F122" s="636"/>
      <c r="G122" s="27"/>
      <c r="H122" s="166"/>
      <c r="J122" s="163" t="s">
        <v>48</v>
      </c>
    </row>
    <row r="123" spans="1:10" ht="13.5" thickBot="1">
      <c r="A123" s="79"/>
      <c r="B123" s="69"/>
      <c r="C123" s="630" t="s">
        <v>221</v>
      </c>
      <c r="D123" s="631"/>
      <c r="E123" s="631"/>
      <c r="F123" s="631"/>
      <c r="G123" s="631"/>
      <c r="H123" s="167">
        <f>IF((H120+H121+H122)='Component Unit Template'!K46,H120+H121+H122,"ERROR")</f>
        <v>0</v>
      </c>
      <c r="J123" s="123">
        <f>(SUM(H120+H121+H122))-'Component Unit Template'!K46</f>
        <v>0</v>
      </c>
    </row>
    <row r="124" spans="1:10" ht="13.5" thickTop="1">
      <c r="A124" s="79"/>
      <c r="B124" s="69"/>
      <c r="C124" s="69"/>
      <c r="D124" s="69"/>
      <c r="E124" s="69"/>
      <c r="F124" s="69"/>
      <c r="G124" s="79"/>
      <c r="H124" s="80"/>
    </row>
    <row r="125" spans="1:10">
      <c r="A125" s="77"/>
      <c r="B125" s="69" t="s">
        <v>233</v>
      </c>
      <c r="C125" s="78"/>
      <c r="D125" s="69"/>
      <c r="E125" s="69"/>
      <c r="F125" s="69"/>
      <c r="G125" s="79"/>
      <c r="H125" s="69"/>
    </row>
    <row r="126" spans="1:10">
      <c r="A126" s="77"/>
      <c r="B126" s="69"/>
      <c r="C126" s="78"/>
      <c r="D126" s="69"/>
      <c r="E126" s="69"/>
      <c r="F126" s="69"/>
      <c r="G126" s="79"/>
      <c r="H126" s="69"/>
    </row>
    <row r="127" spans="1:10">
      <c r="A127" s="77"/>
      <c r="B127" s="69"/>
      <c r="C127" s="78"/>
      <c r="D127" s="27" t="s">
        <v>215</v>
      </c>
      <c r="E127" s="27"/>
      <c r="F127" s="27"/>
      <c r="G127" s="27"/>
      <c r="H127" s="31" t="s">
        <v>176</v>
      </c>
    </row>
    <row r="128" spans="1:10">
      <c r="A128" s="79"/>
      <c r="B128" s="69"/>
      <c r="C128" s="69"/>
      <c r="D128" s="634"/>
      <c r="E128" s="635"/>
      <c r="F128" s="636"/>
      <c r="G128" s="27"/>
      <c r="H128" s="166"/>
    </row>
    <row r="129" spans="1:10">
      <c r="A129" s="79"/>
      <c r="B129" s="69"/>
      <c r="C129" s="69"/>
      <c r="D129" s="634"/>
      <c r="E129" s="635"/>
      <c r="F129" s="636"/>
      <c r="G129" s="27"/>
      <c r="H129" s="166"/>
    </row>
    <row r="130" spans="1:10">
      <c r="A130" s="79"/>
      <c r="B130" s="69"/>
      <c r="C130" s="69"/>
      <c r="D130" s="634"/>
      <c r="E130" s="635"/>
      <c r="F130" s="636"/>
      <c r="G130" s="27"/>
      <c r="H130" s="166"/>
      <c r="J130" s="163" t="s">
        <v>48</v>
      </c>
    </row>
    <row r="131" spans="1:10" ht="13.5" thickBot="1">
      <c r="A131" s="79"/>
      <c r="B131" s="69"/>
      <c r="C131" s="630" t="s">
        <v>405</v>
      </c>
      <c r="D131" s="631"/>
      <c r="E131" s="631"/>
      <c r="F131" s="631"/>
      <c r="G131" s="631"/>
      <c r="H131" s="167">
        <f>IF((H128+H129+H130)='Component Unit Template'!K93,H128+H129+H130,"ERROR")</f>
        <v>0</v>
      </c>
      <c r="J131" s="123">
        <f>(SUM(H128+H129+H130))-'Component Unit Template'!K93</f>
        <v>0</v>
      </c>
    </row>
    <row r="132" spans="1:10" ht="13.5" thickTop="1">
      <c r="A132" s="79"/>
      <c r="B132" s="69"/>
      <c r="C132" s="69"/>
      <c r="D132" s="69"/>
      <c r="E132" s="69"/>
      <c r="F132" s="69"/>
      <c r="G132" s="79"/>
      <c r="H132" s="80"/>
    </row>
    <row r="133" spans="1:10">
      <c r="A133" s="79"/>
      <c r="B133" s="69" t="s">
        <v>809</v>
      </c>
      <c r="C133" s="78"/>
      <c r="D133" s="69"/>
      <c r="E133" s="69"/>
      <c r="F133" s="69"/>
      <c r="G133" s="79"/>
      <c r="H133" s="80"/>
    </row>
    <row r="134" spans="1:10">
      <c r="A134" s="79"/>
      <c r="B134" s="69"/>
      <c r="C134" s="78"/>
      <c r="D134" s="69"/>
      <c r="E134" s="69"/>
      <c r="F134" s="69"/>
      <c r="G134" s="79"/>
      <c r="H134" s="80"/>
    </row>
    <row r="135" spans="1:10">
      <c r="A135" s="79"/>
      <c r="B135" s="69"/>
      <c r="C135" s="78"/>
      <c r="D135" s="27" t="s">
        <v>215</v>
      </c>
      <c r="E135" s="27"/>
      <c r="F135" s="27"/>
      <c r="G135" s="27"/>
      <c r="H135" s="31" t="s">
        <v>176</v>
      </c>
    </row>
    <row r="136" spans="1:10">
      <c r="A136" s="79"/>
      <c r="B136" s="69"/>
      <c r="C136" s="69"/>
      <c r="D136" s="641" t="s">
        <v>703</v>
      </c>
      <c r="E136" s="642"/>
      <c r="F136" s="643"/>
      <c r="G136" s="27"/>
      <c r="H136" s="166"/>
    </row>
    <row r="137" spans="1:10">
      <c r="A137" s="79"/>
      <c r="B137" s="69"/>
      <c r="C137" s="69"/>
      <c r="D137" s="634"/>
      <c r="E137" s="635"/>
      <c r="F137" s="636"/>
      <c r="G137" s="27"/>
      <c r="H137" s="166"/>
    </row>
    <row r="138" spans="1:10">
      <c r="A138" s="79"/>
      <c r="B138" s="69"/>
      <c r="C138" s="69"/>
      <c r="D138" s="634"/>
      <c r="E138" s="635"/>
      <c r="F138" s="636"/>
      <c r="G138" s="27"/>
      <c r="H138" s="166"/>
      <c r="J138" s="163" t="s">
        <v>48</v>
      </c>
    </row>
    <row r="139" spans="1:10" ht="13.5" thickBot="1">
      <c r="A139" s="79"/>
      <c r="B139" s="69"/>
      <c r="C139" s="630" t="s">
        <v>432</v>
      </c>
      <c r="D139" s="631"/>
      <c r="E139" s="631"/>
      <c r="F139" s="631"/>
      <c r="G139" s="631"/>
      <c r="H139" s="167">
        <f>IF((H136+H137+H138)='Component Unit Template'!K54,H136+H137+H138,"ERROR")</f>
        <v>0</v>
      </c>
      <c r="J139" s="123">
        <f>(SUM(H136+H137+H138))-'Component Unit Template'!K54</f>
        <v>0</v>
      </c>
    </row>
    <row r="140" spans="1:10" ht="13.5" thickTop="1">
      <c r="A140" s="79"/>
      <c r="B140" s="69"/>
      <c r="C140" s="69"/>
      <c r="D140" s="69"/>
      <c r="E140" s="69"/>
      <c r="F140" s="69"/>
      <c r="G140" s="79"/>
      <c r="H140" s="81"/>
    </row>
    <row r="141" spans="1:10">
      <c r="A141" s="79"/>
      <c r="B141" s="69" t="s">
        <v>810</v>
      </c>
      <c r="C141" s="78"/>
      <c r="D141" s="69"/>
      <c r="E141" s="69"/>
      <c r="F141" s="69"/>
      <c r="G141" s="79"/>
      <c r="H141" s="80"/>
    </row>
    <row r="142" spans="1:10">
      <c r="A142" s="79"/>
      <c r="B142" s="69"/>
      <c r="C142" s="78"/>
      <c r="D142" s="69"/>
      <c r="E142" s="69"/>
      <c r="F142" s="69"/>
      <c r="G142" s="79"/>
      <c r="H142" s="80"/>
    </row>
    <row r="143" spans="1:10">
      <c r="A143" s="79"/>
      <c r="B143" s="69"/>
      <c r="C143" s="78"/>
      <c r="D143" s="27" t="s">
        <v>215</v>
      </c>
      <c r="E143" s="27"/>
      <c r="F143" s="27"/>
      <c r="G143" s="27"/>
      <c r="H143" s="31" t="s">
        <v>176</v>
      </c>
    </row>
    <row r="144" spans="1:10">
      <c r="A144" s="79"/>
      <c r="B144" s="69"/>
      <c r="C144" s="69"/>
      <c r="D144" s="641" t="s">
        <v>704</v>
      </c>
      <c r="E144" s="642"/>
      <c r="F144" s="643"/>
      <c r="G144" s="27"/>
      <c r="H144" s="166"/>
    </row>
    <row r="145" spans="1:10">
      <c r="A145" s="79"/>
      <c r="B145" s="69"/>
      <c r="C145" s="69"/>
      <c r="D145" s="634"/>
      <c r="E145" s="635"/>
      <c r="F145" s="636"/>
      <c r="G145" s="27"/>
      <c r="H145" s="166"/>
    </row>
    <row r="146" spans="1:10">
      <c r="A146" s="79"/>
      <c r="B146" s="69"/>
      <c r="C146" s="69"/>
      <c r="D146" s="634"/>
      <c r="E146" s="635"/>
      <c r="F146" s="636"/>
      <c r="G146" s="27"/>
      <c r="H146" s="166"/>
      <c r="J146" s="163" t="s">
        <v>48</v>
      </c>
    </row>
    <row r="147" spans="1:10" ht="13.5" thickBot="1">
      <c r="A147" s="79"/>
      <c r="B147" s="69"/>
      <c r="C147" s="630" t="s">
        <v>433</v>
      </c>
      <c r="D147" s="631"/>
      <c r="E147" s="631"/>
      <c r="F147" s="631"/>
      <c r="G147" s="631"/>
      <c r="H147" s="167">
        <f>IF((H144+H145+H146)='Component Unit Template'!K100,H144+H145+H146,"ERROR")</f>
        <v>0</v>
      </c>
      <c r="J147" s="123">
        <f>(SUM(H144+H145+H146))-'Component Unit Template'!K100</f>
        <v>0</v>
      </c>
    </row>
    <row r="148" spans="1:10" ht="13.5" thickTop="1">
      <c r="A148" s="79"/>
      <c r="B148" s="69"/>
      <c r="C148" s="69"/>
      <c r="D148" s="69"/>
      <c r="E148" s="69"/>
      <c r="F148" s="79"/>
      <c r="G148" s="69"/>
      <c r="H148" s="69"/>
    </row>
    <row r="149" spans="1:10">
      <c r="A149" s="79"/>
      <c r="B149" s="69"/>
      <c r="C149" s="69"/>
      <c r="D149" s="69"/>
      <c r="E149" s="69"/>
      <c r="F149" s="79"/>
      <c r="G149" s="69"/>
      <c r="H149" s="69"/>
    </row>
    <row r="150" spans="1:10" ht="12.75" customHeight="1">
      <c r="A150" s="79" t="s">
        <v>538</v>
      </c>
      <c r="B150" s="69" t="s">
        <v>697</v>
      </c>
      <c r="C150" s="69"/>
      <c r="D150" s="69"/>
      <c r="E150" s="69"/>
      <c r="F150" s="79"/>
      <c r="G150" s="69"/>
      <c r="H150" s="69"/>
    </row>
    <row r="151" spans="1:10" ht="30" customHeight="1">
      <c r="A151" s="79"/>
      <c r="B151" s="69"/>
      <c r="C151" s="69"/>
      <c r="D151" s="69"/>
      <c r="E151" s="639" t="s">
        <v>698</v>
      </c>
      <c r="F151" s="640"/>
      <c r="G151" s="385"/>
      <c r="H151" s="69"/>
    </row>
    <row r="152" spans="1:10" ht="39.950000000000003" customHeight="1">
      <c r="A152" s="79"/>
      <c r="B152" s="69"/>
      <c r="C152" s="69"/>
      <c r="D152" s="399" t="s">
        <v>787</v>
      </c>
      <c r="E152" s="181" t="s">
        <v>699</v>
      </c>
      <c r="F152" s="181" t="s">
        <v>700</v>
      </c>
      <c r="G152" s="398" t="s">
        <v>786</v>
      </c>
      <c r="H152" s="181" t="s">
        <v>660</v>
      </c>
    </row>
    <row r="153" spans="1:10">
      <c r="A153" s="79"/>
      <c r="B153" s="69"/>
      <c r="C153" s="69"/>
      <c r="D153" s="82"/>
      <c r="E153" s="165"/>
      <c r="F153" s="165"/>
      <c r="G153" s="371" t="str">
        <f>IF(OR(E153&lt;&gt;"",F153&lt;&gt;""),"Answer Required","")</f>
        <v/>
      </c>
      <c r="H153" s="370" t="str">
        <f t="shared" ref="H153:H172" si="0">IF(G153="","",IF(G153="No","Answer Required","N/A"))</f>
        <v/>
      </c>
    </row>
    <row r="154" spans="1:10">
      <c r="A154" s="79"/>
      <c r="B154" s="69"/>
      <c r="C154" s="69"/>
      <c r="D154" s="82"/>
      <c r="E154" s="165"/>
      <c r="F154" s="165"/>
      <c r="G154" s="371" t="str">
        <f t="shared" ref="G154:G172" si="1">IF(OR(E154&lt;&gt;"",F154&lt;&gt;""),"Answer Required","")</f>
        <v/>
      </c>
      <c r="H154" s="370" t="str">
        <f t="shared" si="0"/>
        <v/>
      </c>
    </row>
    <row r="155" spans="1:10">
      <c r="A155" s="79"/>
      <c r="B155" s="69"/>
      <c r="C155" s="69"/>
      <c r="D155" s="82"/>
      <c r="E155" s="165"/>
      <c r="F155" s="165"/>
      <c r="G155" s="371" t="str">
        <f t="shared" si="1"/>
        <v/>
      </c>
      <c r="H155" s="370" t="str">
        <f t="shared" si="0"/>
        <v/>
      </c>
    </row>
    <row r="156" spans="1:10">
      <c r="A156" s="79"/>
      <c r="B156" s="69"/>
      <c r="C156" s="69"/>
      <c r="D156" s="82"/>
      <c r="E156" s="165"/>
      <c r="F156" s="165"/>
      <c r="G156" s="371" t="str">
        <f t="shared" si="1"/>
        <v/>
      </c>
      <c r="H156" s="370" t="str">
        <f t="shared" si="0"/>
        <v/>
      </c>
    </row>
    <row r="157" spans="1:10">
      <c r="A157" s="79"/>
      <c r="B157" s="69"/>
      <c r="C157" s="69"/>
      <c r="D157" s="82"/>
      <c r="E157" s="165"/>
      <c r="F157" s="165"/>
      <c r="G157" s="371" t="str">
        <f t="shared" si="1"/>
        <v/>
      </c>
      <c r="H157" s="370" t="str">
        <f t="shared" si="0"/>
        <v/>
      </c>
    </row>
    <row r="158" spans="1:10">
      <c r="A158" s="79"/>
      <c r="B158" s="69"/>
      <c r="C158" s="69"/>
      <c r="D158" s="82"/>
      <c r="E158" s="165"/>
      <c r="F158" s="165"/>
      <c r="G158" s="371" t="str">
        <f t="shared" si="1"/>
        <v/>
      </c>
      <c r="H158" s="370" t="str">
        <f t="shared" si="0"/>
        <v/>
      </c>
    </row>
    <row r="159" spans="1:10">
      <c r="A159" s="79"/>
      <c r="B159" s="69"/>
      <c r="C159" s="69"/>
      <c r="D159" s="82"/>
      <c r="E159" s="165"/>
      <c r="F159" s="165"/>
      <c r="G159" s="371" t="str">
        <f t="shared" si="1"/>
        <v/>
      </c>
      <c r="H159" s="370" t="str">
        <f t="shared" si="0"/>
        <v/>
      </c>
    </row>
    <row r="160" spans="1:10">
      <c r="A160" s="79"/>
      <c r="B160" s="69"/>
      <c r="C160" s="69"/>
      <c r="D160" s="82"/>
      <c r="E160" s="165"/>
      <c r="F160" s="165"/>
      <c r="G160" s="371" t="str">
        <f t="shared" si="1"/>
        <v/>
      </c>
      <c r="H160" s="370" t="str">
        <f t="shared" si="0"/>
        <v/>
      </c>
    </row>
    <row r="161" spans="1:10">
      <c r="A161" s="79"/>
      <c r="B161" s="69"/>
      <c r="C161" s="69"/>
      <c r="D161" s="82"/>
      <c r="E161" s="165"/>
      <c r="F161" s="165"/>
      <c r="G161" s="371" t="str">
        <f t="shared" si="1"/>
        <v/>
      </c>
      <c r="H161" s="370" t="str">
        <f t="shared" si="0"/>
        <v/>
      </c>
    </row>
    <row r="162" spans="1:10">
      <c r="A162" s="79"/>
      <c r="B162" s="69"/>
      <c r="C162" s="69"/>
      <c r="D162" s="82"/>
      <c r="E162" s="165"/>
      <c r="F162" s="165"/>
      <c r="G162" s="371" t="str">
        <f t="shared" si="1"/>
        <v/>
      </c>
      <c r="H162" s="370" t="str">
        <f t="shared" si="0"/>
        <v/>
      </c>
    </row>
    <row r="163" spans="1:10">
      <c r="A163" s="79"/>
      <c r="B163" s="69"/>
      <c r="C163" s="69"/>
      <c r="D163" s="82"/>
      <c r="E163" s="165"/>
      <c r="F163" s="165"/>
      <c r="G163" s="371" t="str">
        <f t="shared" si="1"/>
        <v/>
      </c>
      <c r="H163" s="370" t="str">
        <f t="shared" si="0"/>
        <v/>
      </c>
    </row>
    <row r="164" spans="1:10">
      <c r="A164" s="79"/>
      <c r="B164" s="69"/>
      <c r="C164" s="69"/>
      <c r="D164" s="82"/>
      <c r="E164" s="165"/>
      <c r="F164" s="165"/>
      <c r="G164" s="371" t="str">
        <f t="shared" si="1"/>
        <v/>
      </c>
      <c r="H164" s="370" t="str">
        <f t="shared" si="0"/>
        <v/>
      </c>
    </row>
    <row r="165" spans="1:10">
      <c r="A165" s="79"/>
      <c r="B165" s="69"/>
      <c r="C165" s="69"/>
      <c r="D165" s="82"/>
      <c r="E165" s="165"/>
      <c r="F165" s="165"/>
      <c r="G165" s="371" t="str">
        <f t="shared" si="1"/>
        <v/>
      </c>
      <c r="H165" s="370" t="str">
        <f t="shared" si="0"/>
        <v/>
      </c>
    </row>
    <row r="166" spans="1:10">
      <c r="A166" s="79"/>
      <c r="B166" s="69"/>
      <c r="C166" s="69"/>
      <c r="D166" s="82"/>
      <c r="E166" s="165"/>
      <c r="F166" s="165"/>
      <c r="G166" s="371" t="str">
        <f t="shared" si="1"/>
        <v/>
      </c>
      <c r="H166" s="370" t="str">
        <f t="shared" si="0"/>
        <v/>
      </c>
    </row>
    <row r="167" spans="1:10">
      <c r="A167" s="79"/>
      <c r="B167" s="69"/>
      <c r="C167" s="69"/>
      <c r="D167" s="82"/>
      <c r="E167" s="165"/>
      <c r="F167" s="165"/>
      <c r="G167" s="371" t="str">
        <f t="shared" si="1"/>
        <v/>
      </c>
      <c r="H167" s="370" t="str">
        <f t="shared" si="0"/>
        <v/>
      </c>
    </row>
    <row r="168" spans="1:10">
      <c r="A168" s="79"/>
      <c r="B168" s="69"/>
      <c r="C168" s="69"/>
      <c r="D168" s="82"/>
      <c r="E168" s="165"/>
      <c r="F168" s="165"/>
      <c r="G168" s="371" t="str">
        <f t="shared" si="1"/>
        <v/>
      </c>
      <c r="H168" s="370" t="str">
        <f t="shared" si="0"/>
        <v/>
      </c>
    </row>
    <row r="169" spans="1:10">
      <c r="A169" s="79"/>
      <c r="B169" s="69"/>
      <c r="C169" s="69"/>
      <c r="D169" s="82"/>
      <c r="E169" s="165"/>
      <c r="F169" s="165"/>
      <c r="G169" s="371" t="str">
        <f t="shared" si="1"/>
        <v/>
      </c>
      <c r="H169" s="370" t="str">
        <f t="shared" si="0"/>
        <v/>
      </c>
    </row>
    <row r="170" spans="1:10">
      <c r="A170" s="79"/>
      <c r="B170" s="69"/>
      <c r="C170" s="69"/>
      <c r="D170" s="82"/>
      <c r="E170" s="165"/>
      <c r="F170" s="165"/>
      <c r="G170" s="371" t="str">
        <f t="shared" si="1"/>
        <v/>
      </c>
      <c r="H170" s="370" t="str">
        <f t="shared" si="0"/>
        <v/>
      </c>
    </row>
    <row r="171" spans="1:10">
      <c r="A171" s="79"/>
      <c r="B171" s="69"/>
      <c r="C171" s="69"/>
      <c r="D171" s="82"/>
      <c r="E171" s="165"/>
      <c r="F171" s="165"/>
      <c r="G171" s="371" t="str">
        <f t="shared" si="1"/>
        <v/>
      </c>
      <c r="H171" s="370" t="str">
        <f t="shared" si="0"/>
        <v/>
      </c>
    </row>
    <row r="172" spans="1:10">
      <c r="A172" s="79"/>
      <c r="B172" s="69"/>
      <c r="C172" s="69"/>
      <c r="D172" s="82"/>
      <c r="E172" s="165"/>
      <c r="F172" s="165"/>
      <c r="G172" s="371" t="str">
        <f t="shared" si="1"/>
        <v/>
      </c>
      <c r="H172" s="370" t="str">
        <f t="shared" si="0"/>
        <v/>
      </c>
      <c r="J172" s="163"/>
    </row>
    <row r="173" spans="1:10" ht="13.5" thickBot="1">
      <c r="A173" s="79"/>
      <c r="B173" s="69"/>
      <c r="C173" s="69"/>
      <c r="D173" s="39" t="s">
        <v>431</v>
      </c>
      <c r="E173" s="164">
        <f>IF(SUM(E153:E172)='Component Unit Template'!K43,SUM(E153:E172),"ERROR")</f>
        <v>0</v>
      </c>
      <c r="F173" s="164">
        <f>IF(SUM(F153:F172)=H136,SUM(F153:F172),"ERROR")</f>
        <v>0</v>
      </c>
      <c r="G173" s="98"/>
    </row>
    <row r="174" spans="1:10" ht="13.5" thickTop="1">
      <c r="A174" s="79"/>
      <c r="B174" s="69"/>
      <c r="C174" s="69"/>
      <c r="D174" s="369" t="s">
        <v>48</v>
      </c>
      <c r="E174" s="123">
        <f>(SUM(E153:E172))-(SUM('Component Unit Template'!K43))</f>
        <v>0</v>
      </c>
      <c r="F174" s="123">
        <f>SUM(F153:F172)-H136</f>
        <v>0</v>
      </c>
      <c r="H174" s="69"/>
    </row>
    <row r="175" spans="1:10">
      <c r="A175" s="79" t="s">
        <v>434</v>
      </c>
      <c r="B175" s="69" t="s">
        <v>701</v>
      </c>
      <c r="C175" s="69"/>
      <c r="D175" s="69"/>
      <c r="E175" s="83"/>
      <c r="F175" s="79"/>
      <c r="G175" s="69"/>
      <c r="H175" s="69"/>
    </row>
    <row r="176" spans="1:10" ht="30" customHeight="1">
      <c r="A176" s="79"/>
      <c r="B176" s="69"/>
      <c r="C176" s="69"/>
      <c r="D176" s="83"/>
      <c r="E176" s="639" t="s">
        <v>698</v>
      </c>
      <c r="F176" s="640"/>
      <c r="G176" s="385"/>
      <c r="H176" s="69"/>
    </row>
    <row r="177" spans="1:8" ht="39.950000000000003" customHeight="1">
      <c r="A177" s="79"/>
      <c r="B177" s="69"/>
      <c r="C177" s="69"/>
      <c r="D177" s="401" t="s">
        <v>787</v>
      </c>
      <c r="E177" s="181" t="s">
        <v>699</v>
      </c>
      <c r="F177" s="181" t="s">
        <v>700</v>
      </c>
      <c r="G177" s="398" t="s">
        <v>786</v>
      </c>
      <c r="H177" s="181" t="s">
        <v>660</v>
      </c>
    </row>
    <row r="178" spans="1:8">
      <c r="A178" s="79"/>
      <c r="B178" s="69"/>
      <c r="C178" s="69"/>
      <c r="D178" s="82"/>
      <c r="E178" s="165"/>
      <c r="F178" s="165"/>
      <c r="G178" s="371" t="str">
        <f>IF(OR(E178&lt;&gt;"",F178&lt;&gt;""),"Answer Required","")</f>
        <v/>
      </c>
      <c r="H178" s="370" t="str">
        <f t="shared" ref="H178:H197" si="2">IF(G178="","",IF(G178="No","Answer Required","N/A"))</f>
        <v/>
      </c>
    </row>
    <row r="179" spans="1:8">
      <c r="A179" s="79"/>
      <c r="B179" s="69"/>
      <c r="C179" s="69"/>
      <c r="D179" s="82"/>
      <c r="E179" s="165"/>
      <c r="F179" s="165"/>
      <c r="G179" s="371" t="str">
        <f t="shared" ref="G179:G197" si="3">IF(OR(E179&lt;&gt;"",F179&lt;&gt;""),"Answer Required","")</f>
        <v/>
      </c>
      <c r="H179" s="370" t="str">
        <f t="shared" si="2"/>
        <v/>
      </c>
    </row>
    <row r="180" spans="1:8">
      <c r="A180" s="79"/>
      <c r="B180" s="69"/>
      <c r="C180" s="69"/>
      <c r="D180" s="82"/>
      <c r="E180" s="165"/>
      <c r="F180" s="165"/>
      <c r="G180" s="371" t="str">
        <f t="shared" si="3"/>
        <v/>
      </c>
      <c r="H180" s="370" t="str">
        <f t="shared" si="2"/>
        <v/>
      </c>
    </row>
    <row r="181" spans="1:8">
      <c r="A181" s="79"/>
      <c r="B181" s="69"/>
      <c r="C181" s="69"/>
      <c r="D181" s="82"/>
      <c r="E181" s="165"/>
      <c r="F181" s="165"/>
      <c r="G181" s="371" t="str">
        <f t="shared" si="3"/>
        <v/>
      </c>
      <c r="H181" s="370" t="str">
        <f t="shared" si="2"/>
        <v/>
      </c>
    </row>
    <row r="182" spans="1:8">
      <c r="A182" s="79"/>
      <c r="B182" s="69"/>
      <c r="C182" s="69"/>
      <c r="D182" s="82"/>
      <c r="E182" s="165"/>
      <c r="F182" s="165"/>
      <c r="G182" s="371" t="str">
        <f t="shared" si="3"/>
        <v/>
      </c>
      <c r="H182" s="370" t="str">
        <f t="shared" si="2"/>
        <v/>
      </c>
    </row>
    <row r="183" spans="1:8">
      <c r="A183" s="79"/>
      <c r="B183" s="69"/>
      <c r="C183" s="69"/>
      <c r="D183" s="82"/>
      <c r="E183" s="165"/>
      <c r="F183" s="165"/>
      <c r="G183" s="371" t="str">
        <f t="shared" si="3"/>
        <v/>
      </c>
      <c r="H183" s="370" t="str">
        <f t="shared" si="2"/>
        <v/>
      </c>
    </row>
    <row r="184" spans="1:8">
      <c r="A184" s="79"/>
      <c r="B184" s="69"/>
      <c r="C184" s="69"/>
      <c r="D184" s="82"/>
      <c r="E184" s="165"/>
      <c r="F184" s="165"/>
      <c r="G184" s="371" t="str">
        <f t="shared" si="3"/>
        <v/>
      </c>
      <c r="H184" s="370" t="str">
        <f t="shared" si="2"/>
        <v/>
      </c>
    </row>
    <row r="185" spans="1:8">
      <c r="A185" s="79"/>
      <c r="B185" s="69"/>
      <c r="C185" s="69"/>
      <c r="D185" s="82"/>
      <c r="E185" s="165"/>
      <c r="F185" s="165"/>
      <c r="G185" s="371" t="str">
        <f t="shared" si="3"/>
        <v/>
      </c>
      <c r="H185" s="370" t="str">
        <f t="shared" si="2"/>
        <v/>
      </c>
    </row>
    <row r="186" spans="1:8">
      <c r="A186" s="79"/>
      <c r="B186" s="69"/>
      <c r="C186" s="69"/>
      <c r="D186" s="82"/>
      <c r="E186" s="165"/>
      <c r="F186" s="165"/>
      <c r="G186" s="371" t="str">
        <f t="shared" si="3"/>
        <v/>
      </c>
      <c r="H186" s="370" t="str">
        <f t="shared" si="2"/>
        <v/>
      </c>
    </row>
    <row r="187" spans="1:8">
      <c r="A187" s="79"/>
      <c r="B187" s="69"/>
      <c r="C187" s="69"/>
      <c r="D187" s="82"/>
      <c r="E187" s="165"/>
      <c r="F187" s="165"/>
      <c r="G187" s="371" t="str">
        <f t="shared" si="3"/>
        <v/>
      </c>
      <c r="H187" s="370" t="str">
        <f t="shared" si="2"/>
        <v/>
      </c>
    </row>
    <row r="188" spans="1:8">
      <c r="A188" s="79"/>
      <c r="B188" s="69"/>
      <c r="C188" s="69"/>
      <c r="D188" s="82"/>
      <c r="E188" s="165"/>
      <c r="F188" s="165"/>
      <c r="G188" s="371" t="str">
        <f t="shared" si="3"/>
        <v/>
      </c>
      <c r="H188" s="370" t="str">
        <f t="shared" si="2"/>
        <v/>
      </c>
    </row>
    <row r="189" spans="1:8">
      <c r="A189" s="79"/>
      <c r="B189" s="69"/>
      <c r="C189" s="69"/>
      <c r="D189" s="82"/>
      <c r="E189" s="165"/>
      <c r="F189" s="165"/>
      <c r="G189" s="371" t="str">
        <f t="shared" si="3"/>
        <v/>
      </c>
      <c r="H189" s="370" t="str">
        <f t="shared" si="2"/>
        <v/>
      </c>
    </row>
    <row r="190" spans="1:8">
      <c r="A190" s="79"/>
      <c r="B190" s="69"/>
      <c r="C190" s="69"/>
      <c r="D190" s="82"/>
      <c r="E190" s="165"/>
      <c r="F190" s="165"/>
      <c r="G190" s="371" t="str">
        <f t="shared" si="3"/>
        <v/>
      </c>
      <c r="H190" s="370" t="str">
        <f t="shared" si="2"/>
        <v/>
      </c>
    </row>
    <row r="191" spans="1:8">
      <c r="A191" s="79"/>
      <c r="B191" s="69"/>
      <c r="C191" s="69"/>
      <c r="D191" s="82"/>
      <c r="E191" s="165"/>
      <c r="F191" s="165"/>
      <c r="G191" s="371" t="str">
        <f t="shared" si="3"/>
        <v/>
      </c>
      <c r="H191" s="370" t="str">
        <f t="shared" si="2"/>
        <v/>
      </c>
    </row>
    <row r="192" spans="1:8">
      <c r="A192" s="79"/>
      <c r="B192" s="69"/>
      <c r="C192" s="69"/>
      <c r="D192" s="82"/>
      <c r="E192" s="165"/>
      <c r="F192" s="165"/>
      <c r="G192" s="371" t="str">
        <f t="shared" si="3"/>
        <v/>
      </c>
      <c r="H192" s="370" t="str">
        <f t="shared" si="2"/>
        <v/>
      </c>
    </row>
    <row r="193" spans="1:8">
      <c r="A193" s="79"/>
      <c r="B193" s="69"/>
      <c r="C193" s="69"/>
      <c r="D193" s="82"/>
      <c r="E193" s="165"/>
      <c r="F193" s="165"/>
      <c r="G193" s="371" t="str">
        <f t="shared" si="3"/>
        <v/>
      </c>
      <c r="H193" s="370" t="str">
        <f t="shared" si="2"/>
        <v/>
      </c>
    </row>
    <row r="194" spans="1:8">
      <c r="A194" s="79"/>
      <c r="B194" s="69"/>
      <c r="C194" s="69"/>
      <c r="D194" s="82"/>
      <c r="E194" s="165"/>
      <c r="F194" s="165"/>
      <c r="G194" s="371" t="str">
        <f t="shared" si="3"/>
        <v/>
      </c>
      <c r="H194" s="370" t="str">
        <f t="shared" si="2"/>
        <v/>
      </c>
    </row>
    <row r="195" spans="1:8">
      <c r="A195" s="79"/>
      <c r="B195" s="69"/>
      <c r="C195" s="69"/>
      <c r="D195" s="82"/>
      <c r="E195" s="165"/>
      <c r="F195" s="165"/>
      <c r="G195" s="371" t="str">
        <f t="shared" si="3"/>
        <v/>
      </c>
      <c r="H195" s="370" t="str">
        <f t="shared" si="2"/>
        <v/>
      </c>
    </row>
    <row r="196" spans="1:8">
      <c r="A196" s="79"/>
      <c r="B196" s="69"/>
      <c r="C196" s="69"/>
      <c r="D196" s="82"/>
      <c r="E196" s="165"/>
      <c r="F196" s="165"/>
      <c r="G196" s="371" t="str">
        <f t="shared" si="3"/>
        <v/>
      </c>
      <c r="H196" s="370" t="str">
        <f t="shared" si="2"/>
        <v/>
      </c>
    </row>
    <row r="197" spans="1:8">
      <c r="A197" s="79"/>
      <c r="B197" s="69"/>
      <c r="C197" s="69"/>
      <c r="D197" s="82"/>
      <c r="E197" s="165"/>
      <c r="F197" s="165"/>
      <c r="G197" s="371" t="str">
        <f t="shared" si="3"/>
        <v/>
      </c>
      <c r="H197" s="370" t="str">
        <f t="shared" si="2"/>
        <v/>
      </c>
    </row>
    <row r="198" spans="1:8" ht="13.5" thickBot="1">
      <c r="A198" s="79"/>
      <c r="B198" s="69"/>
      <c r="C198" s="69"/>
      <c r="D198" s="98" t="s">
        <v>435</v>
      </c>
      <c r="E198" s="164">
        <f>IF(SUM(E178:E197)='Component Unit Template'!K90,SUM(E178:E197),"ERROR")</f>
        <v>0</v>
      </c>
      <c r="F198" s="164">
        <f>IF(SUM(F178:F197)=H144,SUM(F178:F197),"ERROR")</f>
        <v>0</v>
      </c>
    </row>
    <row r="199" spans="1:8" ht="13.5" thickTop="1">
      <c r="A199" s="79"/>
      <c r="B199" s="69"/>
      <c r="C199" s="69"/>
      <c r="D199" s="369" t="s">
        <v>48</v>
      </c>
      <c r="E199" s="237">
        <f>(SUM(E178:E197))-(SUM('Component Unit Template'!K90))</f>
        <v>0</v>
      </c>
      <c r="F199" s="237">
        <f>SUM(F178:F197)-H144</f>
        <v>0</v>
      </c>
      <c r="H199" s="69"/>
    </row>
    <row r="200" spans="1:8" hidden="1">
      <c r="A200" s="79" t="s">
        <v>436</v>
      </c>
      <c r="B200" s="69" t="s">
        <v>234</v>
      </c>
      <c r="C200" s="69"/>
      <c r="D200" s="69"/>
      <c r="E200" s="83"/>
      <c r="F200" s="79"/>
      <c r="G200" s="69"/>
      <c r="H200" s="69"/>
    </row>
    <row r="201" spans="1:8" ht="39.950000000000003" hidden="1" customHeight="1">
      <c r="A201" s="79"/>
      <c r="B201" s="69"/>
      <c r="C201" s="69"/>
      <c r="D201" s="69"/>
      <c r="E201" s="400" t="s">
        <v>437</v>
      </c>
      <c r="F201" s="181" t="s">
        <v>176</v>
      </c>
      <c r="G201" s="398" t="s">
        <v>661</v>
      </c>
      <c r="H201" s="181" t="s">
        <v>660</v>
      </c>
    </row>
    <row r="202" spans="1:8" hidden="1">
      <c r="A202" s="79"/>
      <c r="B202" s="69"/>
      <c r="C202" s="69"/>
      <c r="D202" s="69"/>
      <c r="E202" s="82"/>
      <c r="F202" s="165"/>
      <c r="G202" s="371" t="str">
        <f t="shared" ref="G202:G221" si="4">IF(F202&lt;&gt;"","Answer Required","")</f>
        <v/>
      </c>
      <c r="H202" s="370" t="str">
        <f t="shared" ref="H202:H221" si="5">IF(G202="","",IF(G202="No","Answer Required","N/A"))</f>
        <v/>
      </c>
    </row>
    <row r="203" spans="1:8" hidden="1">
      <c r="A203" s="79"/>
      <c r="B203" s="69"/>
      <c r="C203" s="69"/>
      <c r="D203" s="69"/>
      <c r="E203" s="82"/>
      <c r="F203" s="165"/>
      <c r="G203" s="371" t="str">
        <f t="shared" si="4"/>
        <v/>
      </c>
      <c r="H203" s="370" t="str">
        <f t="shared" si="5"/>
        <v/>
      </c>
    </row>
    <row r="204" spans="1:8" hidden="1">
      <c r="A204" s="79"/>
      <c r="B204" s="69"/>
      <c r="C204" s="69"/>
      <c r="D204" s="69"/>
      <c r="E204" s="82"/>
      <c r="F204" s="165"/>
      <c r="G204" s="371" t="str">
        <f t="shared" si="4"/>
        <v/>
      </c>
      <c r="H204" s="370" t="str">
        <f t="shared" si="5"/>
        <v/>
      </c>
    </row>
    <row r="205" spans="1:8" hidden="1">
      <c r="A205" s="79"/>
      <c r="B205" s="69"/>
      <c r="C205" s="69"/>
      <c r="D205" s="69"/>
      <c r="E205" s="82"/>
      <c r="F205" s="165"/>
      <c r="G205" s="371" t="str">
        <f t="shared" si="4"/>
        <v/>
      </c>
      <c r="H205" s="370" t="str">
        <f t="shared" si="5"/>
        <v/>
      </c>
    </row>
    <row r="206" spans="1:8" hidden="1">
      <c r="A206" s="79"/>
      <c r="B206" s="69"/>
      <c r="C206" s="69"/>
      <c r="D206" s="69"/>
      <c r="E206" s="82"/>
      <c r="F206" s="165"/>
      <c r="G206" s="371" t="str">
        <f t="shared" si="4"/>
        <v/>
      </c>
      <c r="H206" s="370" t="str">
        <f t="shared" si="5"/>
        <v/>
      </c>
    </row>
    <row r="207" spans="1:8" hidden="1">
      <c r="A207" s="79"/>
      <c r="B207" s="69"/>
      <c r="C207" s="69"/>
      <c r="D207" s="69"/>
      <c r="E207" s="82"/>
      <c r="F207" s="165"/>
      <c r="G207" s="371" t="str">
        <f t="shared" si="4"/>
        <v/>
      </c>
      <c r="H207" s="370" t="str">
        <f t="shared" si="5"/>
        <v/>
      </c>
    </row>
    <row r="208" spans="1:8" hidden="1">
      <c r="A208" s="79"/>
      <c r="B208" s="69"/>
      <c r="C208" s="69"/>
      <c r="D208" s="69"/>
      <c r="E208" s="82"/>
      <c r="F208" s="165"/>
      <c r="G208" s="371" t="str">
        <f t="shared" si="4"/>
        <v/>
      </c>
      <c r="H208" s="370" t="str">
        <f t="shared" si="5"/>
        <v/>
      </c>
    </row>
    <row r="209" spans="1:8" hidden="1">
      <c r="A209" s="79"/>
      <c r="B209" s="69"/>
      <c r="C209" s="69"/>
      <c r="D209" s="69"/>
      <c r="E209" s="82"/>
      <c r="F209" s="165"/>
      <c r="G209" s="371" t="str">
        <f t="shared" si="4"/>
        <v/>
      </c>
      <c r="H209" s="370" t="str">
        <f t="shared" si="5"/>
        <v/>
      </c>
    </row>
    <row r="210" spans="1:8" hidden="1">
      <c r="A210" s="79"/>
      <c r="B210" s="69"/>
      <c r="C210" s="69"/>
      <c r="D210" s="69"/>
      <c r="E210" s="82"/>
      <c r="F210" s="165"/>
      <c r="G210" s="371" t="str">
        <f t="shared" si="4"/>
        <v/>
      </c>
      <c r="H210" s="370" t="str">
        <f t="shared" si="5"/>
        <v/>
      </c>
    </row>
    <row r="211" spans="1:8" hidden="1">
      <c r="A211" s="79"/>
      <c r="B211" s="69"/>
      <c r="C211" s="69"/>
      <c r="D211" s="69"/>
      <c r="E211" s="82"/>
      <c r="F211" s="165"/>
      <c r="G211" s="371" t="str">
        <f t="shared" si="4"/>
        <v/>
      </c>
      <c r="H211" s="370" t="str">
        <f t="shared" si="5"/>
        <v/>
      </c>
    </row>
    <row r="212" spans="1:8" hidden="1">
      <c r="A212" s="79"/>
      <c r="B212" s="69"/>
      <c r="C212" s="69"/>
      <c r="D212" s="69"/>
      <c r="E212" s="82"/>
      <c r="F212" s="165"/>
      <c r="G212" s="371" t="str">
        <f t="shared" si="4"/>
        <v/>
      </c>
      <c r="H212" s="370" t="str">
        <f t="shared" si="5"/>
        <v/>
      </c>
    </row>
    <row r="213" spans="1:8" hidden="1">
      <c r="A213" s="79"/>
      <c r="B213" s="69"/>
      <c r="C213" s="69"/>
      <c r="D213" s="69"/>
      <c r="E213" s="82"/>
      <c r="F213" s="165"/>
      <c r="G213" s="371" t="str">
        <f t="shared" si="4"/>
        <v/>
      </c>
      <c r="H213" s="370" t="str">
        <f t="shared" si="5"/>
        <v/>
      </c>
    </row>
    <row r="214" spans="1:8" hidden="1">
      <c r="A214" s="79"/>
      <c r="B214" s="69"/>
      <c r="C214" s="69"/>
      <c r="D214" s="69"/>
      <c r="E214" s="82"/>
      <c r="F214" s="165"/>
      <c r="G214" s="371" t="str">
        <f t="shared" si="4"/>
        <v/>
      </c>
      <c r="H214" s="370" t="str">
        <f t="shared" si="5"/>
        <v/>
      </c>
    </row>
    <row r="215" spans="1:8" hidden="1">
      <c r="A215" s="79"/>
      <c r="B215" s="69"/>
      <c r="C215" s="69"/>
      <c r="D215" s="69"/>
      <c r="E215" s="82"/>
      <c r="F215" s="165"/>
      <c r="G215" s="371" t="str">
        <f t="shared" si="4"/>
        <v/>
      </c>
      <c r="H215" s="370" t="str">
        <f t="shared" si="5"/>
        <v/>
      </c>
    </row>
    <row r="216" spans="1:8" hidden="1">
      <c r="A216" s="79"/>
      <c r="B216" s="69"/>
      <c r="C216" s="69"/>
      <c r="D216" s="69"/>
      <c r="E216" s="82"/>
      <c r="F216" s="165"/>
      <c r="G216" s="371" t="str">
        <f t="shared" si="4"/>
        <v/>
      </c>
      <c r="H216" s="370" t="str">
        <f t="shared" si="5"/>
        <v/>
      </c>
    </row>
    <row r="217" spans="1:8" hidden="1">
      <c r="A217" s="79"/>
      <c r="B217" s="69"/>
      <c r="C217" s="69"/>
      <c r="D217" s="69"/>
      <c r="E217" s="82"/>
      <c r="F217" s="165"/>
      <c r="G217" s="371" t="str">
        <f t="shared" si="4"/>
        <v/>
      </c>
      <c r="H217" s="370" t="str">
        <f t="shared" si="5"/>
        <v/>
      </c>
    </row>
    <row r="218" spans="1:8" hidden="1">
      <c r="A218" s="79"/>
      <c r="B218" s="69"/>
      <c r="C218" s="69"/>
      <c r="D218" s="69"/>
      <c r="E218" s="82"/>
      <c r="F218" s="165"/>
      <c r="G218" s="371" t="str">
        <f t="shared" si="4"/>
        <v/>
      </c>
      <c r="H218" s="370" t="str">
        <f t="shared" si="5"/>
        <v/>
      </c>
    </row>
    <row r="219" spans="1:8" hidden="1">
      <c r="A219" s="79"/>
      <c r="B219" s="69"/>
      <c r="C219" s="69"/>
      <c r="D219" s="69"/>
      <c r="E219" s="82"/>
      <c r="F219" s="165"/>
      <c r="G219" s="371" t="str">
        <f t="shared" si="4"/>
        <v/>
      </c>
      <c r="H219" s="370" t="str">
        <f t="shared" si="5"/>
        <v/>
      </c>
    </row>
    <row r="220" spans="1:8" hidden="1">
      <c r="A220" s="79"/>
      <c r="B220" s="69"/>
      <c r="C220" s="69"/>
      <c r="D220" s="69"/>
      <c r="E220" s="82"/>
      <c r="F220" s="165"/>
      <c r="G220" s="371" t="str">
        <f t="shared" si="4"/>
        <v/>
      </c>
      <c r="H220" s="370" t="str">
        <f t="shared" si="5"/>
        <v/>
      </c>
    </row>
    <row r="221" spans="1:8" hidden="1">
      <c r="A221" s="79"/>
      <c r="B221" s="69"/>
      <c r="C221" s="69"/>
      <c r="D221" s="69"/>
      <c r="E221" s="82"/>
      <c r="F221" s="165"/>
      <c r="G221" s="371" t="str">
        <f t="shared" si="4"/>
        <v/>
      </c>
      <c r="H221" s="370" t="str">
        <f t="shared" si="5"/>
        <v/>
      </c>
    </row>
    <row r="222" spans="1:8" ht="13.5" hidden="1" thickBot="1">
      <c r="A222" s="79"/>
      <c r="B222" s="69"/>
      <c r="C222" s="69"/>
      <c r="D222" s="69"/>
      <c r="E222" s="98" t="s">
        <v>435</v>
      </c>
      <c r="F222" s="164">
        <f>IF(SUM(F202:F221)='Component Unit Template'!K44,SUM(F202:F221),"ERROR")</f>
        <v>0</v>
      </c>
    </row>
    <row r="223" spans="1:8" ht="13.5" hidden="1" thickTop="1">
      <c r="A223" s="79"/>
      <c r="B223" s="69"/>
      <c r="C223" s="69"/>
      <c r="D223" s="69"/>
      <c r="E223" s="83"/>
      <c r="F223" s="123">
        <f>(SUM(F202:F221))-'Component Unit Template'!K44</f>
        <v>0</v>
      </c>
      <c r="G223" s="369" t="s">
        <v>48</v>
      </c>
      <c r="H223" s="69"/>
    </row>
    <row r="224" spans="1:8">
      <c r="A224" s="79" t="s">
        <v>436</v>
      </c>
      <c r="B224" s="69" t="s">
        <v>832</v>
      </c>
      <c r="C224" s="69"/>
      <c r="D224" s="69"/>
      <c r="E224" s="83"/>
      <c r="F224" s="79"/>
      <c r="G224" s="69"/>
      <c r="H224" s="69"/>
    </row>
    <row r="225" spans="1:8" ht="39.950000000000003" customHeight="1">
      <c r="A225" s="79"/>
      <c r="B225" s="69"/>
      <c r="C225" s="69"/>
      <c r="D225" s="69"/>
      <c r="E225" s="400" t="s">
        <v>437</v>
      </c>
      <c r="F225" s="181" t="s">
        <v>176</v>
      </c>
      <c r="G225" s="398" t="s">
        <v>661</v>
      </c>
      <c r="H225" s="181" t="s">
        <v>660</v>
      </c>
    </row>
    <row r="226" spans="1:8">
      <c r="A226" s="79"/>
      <c r="B226" s="69"/>
      <c r="C226" s="69"/>
      <c r="D226" s="69"/>
      <c r="E226" s="82"/>
      <c r="F226" s="165"/>
      <c r="G226" s="371" t="str">
        <f t="shared" ref="G226:G245" si="6">IF(F226&lt;&gt;"","Answer Required","")</f>
        <v/>
      </c>
      <c r="H226" s="370" t="str">
        <f t="shared" ref="H226:H245" si="7">IF(G226="","",IF(G226="No","Answer Required","N/A"))</f>
        <v/>
      </c>
    </row>
    <row r="227" spans="1:8">
      <c r="A227" s="79"/>
      <c r="B227" s="69"/>
      <c r="C227" s="69"/>
      <c r="D227" s="69"/>
      <c r="E227" s="82"/>
      <c r="F227" s="165"/>
      <c r="G227" s="371" t="str">
        <f t="shared" si="6"/>
        <v/>
      </c>
      <c r="H227" s="370" t="str">
        <f t="shared" si="7"/>
        <v/>
      </c>
    </row>
    <row r="228" spans="1:8">
      <c r="A228" s="79"/>
      <c r="B228" s="69"/>
      <c r="C228" s="69"/>
      <c r="D228" s="69"/>
      <c r="E228" s="82"/>
      <c r="F228" s="165"/>
      <c r="G228" s="371" t="str">
        <f t="shared" si="6"/>
        <v/>
      </c>
      <c r="H228" s="370" t="str">
        <f t="shared" si="7"/>
        <v/>
      </c>
    </row>
    <row r="229" spans="1:8">
      <c r="A229" s="79"/>
      <c r="B229" s="69"/>
      <c r="C229" s="69"/>
      <c r="D229" s="69"/>
      <c r="E229" s="82"/>
      <c r="F229" s="165"/>
      <c r="G229" s="371" t="str">
        <f t="shared" si="6"/>
        <v/>
      </c>
      <c r="H229" s="370" t="str">
        <f t="shared" si="7"/>
        <v/>
      </c>
    </row>
    <row r="230" spans="1:8">
      <c r="A230" s="79"/>
      <c r="B230" s="69"/>
      <c r="C230" s="69"/>
      <c r="D230" s="69"/>
      <c r="E230" s="82"/>
      <c r="F230" s="165"/>
      <c r="G230" s="371" t="str">
        <f t="shared" si="6"/>
        <v/>
      </c>
      <c r="H230" s="370" t="str">
        <f t="shared" si="7"/>
        <v/>
      </c>
    </row>
    <row r="231" spans="1:8">
      <c r="A231" s="79"/>
      <c r="B231" s="69"/>
      <c r="C231" s="69"/>
      <c r="D231" s="69"/>
      <c r="E231" s="82"/>
      <c r="F231" s="165"/>
      <c r="G231" s="371" t="str">
        <f t="shared" si="6"/>
        <v/>
      </c>
      <c r="H231" s="370" t="str">
        <f t="shared" si="7"/>
        <v/>
      </c>
    </row>
    <row r="232" spans="1:8">
      <c r="A232" s="79"/>
      <c r="B232" s="69"/>
      <c r="C232" s="69"/>
      <c r="D232" s="69"/>
      <c r="E232" s="82"/>
      <c r="F232" s="165"/>
      <c r="G232" s="371" t="str">
        <f t="shared" si="6"/>
        <v/>
      </c>
      <c r="H232" s="370" t="str">
        <f t="shared" si="7"/>
        <v/>
      </c>
    </row>
    <row r="233" spans="1:8">
      <c r="A233" s="79"/>
      <c r="B233" s="69"/>
      <c r="C233" s="69"/>
      <c r="D233" s="69"/>
      <c r="E233" s="82"/>
      <c r="F233" s="165"/>
      <c r="G233" s="371" t="str">
        <f t="shared" si="6"/>
        <v/>
      </c>
      <c r="H233" s="370" t="str">
        <f t="shared" si="7"/>
        <v/>
      </c>
    </row>
    <row r="234" spans="1:8">
      <c r="A234" s="79"/>
      <c r="B234" s="69"/>
      <c r="C234" s="69"/>
      <c r="D234" s="69"/>
      <c r="E234" s="82"/>
      <c r="F234" s="165"/>
      <c r="G234" s="371" t="str">
        <f t="shared" si="6"/>
        <v/>
      </c>
      <c r="H234" s="370" t="str">
        <f t="shared" si="7"/>
        <v/>
      </c>
    </row>
    <row r="235" spans="1:8">
      <c r="A235" s="79"/>
      <c r="B235" s="69"/>
      <c r="C235" s="69"/>
      <c r="D235" s="69"/>
      <c r="E235" s="82"/>
      <c r="F235" s="165"/>
      <c r="G235" s="371" t="str">
        <f t="shared" si="6"/>
        <v/>
      </c>
      <c r="H235" s="370" t="str">
        <f t="shared" si="7"/>
        <v/>
      </c>
    </row>
    <row r="236" spans="1:8">
      <c r="A236" s="79"/>
      <c r="B236" s="69"/>
      <c r="C236" s="69"/>
      <c r="D236" s="69"/>
      <c r="E236" s="82"/>
      <c r="F236" s="165"/>
      <c r="G236" s="371" t="str">
        <f t="shared" si="6"/>
        <v/>
      </c>
      <c r="H236" s="370" t="str">
        <f t="shared" si="7"/>
        <v/>
      </c>
    </row>
    <row r="237" spans="1:8">
      <c r="A237" s="79"/>
      <c r="B237" s="69"/>
      <c r="C237" s="69"/>
      <c r="D237" s="69"/>
      <c r="E237" s="82"/>
      <c r="F237" s="165"/>
      <c r="G237" s="371" t="str">
        <f t="shared" si="6"/>
        <v/>
      </c>
      <c r="H237" s="370" t="str">
        <f t="shared" si="7"/>
        <v/>
      </c>
    </row>
    <row r="238" spans="1:8">
      <c r="A238" s="79"/>
      <c r="B238" s="69"/>
      <c r="C238" s="69"/>
      <c r="D238" s="69"/>
      <c r="E238" s="82"/>
      <c r="F238" s="165"/>
      <c r="G238" s="371" t="str">
        <f t="shared" si="6"/>
        <v/>
      </c>
      <c r="H238" s="370" t="str">
        <f t="shared" si="7"/>
        <v/>
      </c>
    </row>
    <row r="239" spans="1:8">
      <c r="A239" s="79"/>
      <c r="B239" s="69"/>
      <c r="C239" s="69"/>
      <c r="D239" s="69"/>
      <c r="E239" s="82"/>
      <c r="F239" s="165"/>
      <c r="G239" s="371" t="str">
        <f t="shared" si="6"/>
        <v/>
      </c>
      <c r="H239" s="370" t="str">
        <f t="shared" si="7"/>
        <v/>
      </c>
    </row>
    <row r="240" spans="1:8">
      <c r="A240" s="79"/>
      <c r="B240" s="69"/>
      <c r="C240" s="69"/>
      <c r="D240" s="69"/>
      <c r="E240" s="82"/>
      <c r="F240" s="165"/>
      <c r="G240" s="371" t="str">
        <f t="shared" si="6"/>
        <v/>
      </c>
      <c r="H240" s="370" t="str">
        <f t="shared" si="7"/>
        <v/>
      </c>
    </row>
    <row r="241" spans="1:8">
      <c r="A241" s="79"/>
      <c r="B241" s="69"/>
      <c r="C241" s="69"/>
      <c r="D241" s="69"/>
      <c r="E241" s="82"/>
      <c r="F241" s="165"/>
      <c r="G241" s="371" t="str">
        <f t="shared" si="6"/>
        <v/>
      </c>
      <c r="H241" s="370" t="str">
        <f t="shared" si="7"/>
        <v/>
      </c>
    </row>
    <row r="242" spans="1:8">
      <c r="A242" s="79"/>
      <c r="B242" s="69"/>
      <c r="C242" s="69"/>
      <c r="D242" s="69"/>
      <c r="E242" s="82"/>
      <c r="F242" s="165"/>
      <c r="G242" s="371" t="str">
        <f t="shared" si="6"/>
        <v/>
      </c>
      <c r="H242" s="370" t="str">
        <f t="shared" si="7"/>
        <v/>
      </c>
    </row>
    <row r="243" spans="1:8">
      <c r="A243" s="79"/>
      <c r="B243" s="69"/>
      <c r="C243" s="69"/>
      <c r="D243" s="69"/>
      <c r="E243" s="82"/>
      <c r="F243" s="165"/>
      <c r="G243" s="371" t="str">
        <f t="shared" si="6"/>
        <v/>
      </c>
      <c r="H243" s="370" t="str">
        <f t="shared" si="7"/>
        <v/>
      </c>
    </row>
    <row r="244" spans="1:8">
      <c r="A244" s="79"/>
      <c r="B244" s="69"/>
      <c r="C244" s="69"/>
      <c r="D244" s="69"/>
      <c r="E244" s="82"/>
      <c r="F244" s="165"/>
      <c r="G244" s="371" t="str">
        <f t="shared" si="6"/>
        <v/>
      </c>
      <c r="H244" s="370" t="str">
        <f t="shared" si="7"/>
        <v/>
      </c>
    </row>
    <row r="245" spans="1:8">
      <c r="A245" s="79"/>
      <c r="B245" s="69"/>
      <c r="C245" s="69"/>
      <c r="D245" s="69"/>
      <c r="E245" s="82"/>
      <c r="F245" s="165"/>
      <c r="G245" s="371" t="str">
        <f t="shared" si="6"/>
        <v/>
      </c>
      <c r="H245" s="370" t="str">
        <f t="shared" si="7"/>
        <v/>
      </c>
    </row>
    <row r="246" spans="1:8" ht="13.5" thickBot="1">
      <c r="A246" s="79"/>
      <c r="B246" s="69"/>
      <c r="C246" s="69"/>
      <c r="D246" s="69"/>
      <c r="E246" s="98" t="s">
        <v>435</v>
      </c>
      <c r="F246" s="164">
        <f>IF(SUM(F226:F245)='Component Unit Template'!K91,SUM(F226:F245),"ERROR")</f>
        <v>0</v>
      </c>
    </row>
    <row r="247" spans="1:8" ht="13.5" thickTop="1">
      <c r="A247" s="79"/>
      <c r="B247" s="69"/>
      <c r="C247" s="69"/>
      <c r="D247" s="69"/>
      <c r="E247" s="83"/>
      <c r="F247" s="123">
        <f>(SUM(F226:F245))-'Component Unit Template'!K91</f>
        <v>0</v>
      </c>
      <c r="G247" s="369" t="s">
        <v>48</v>
      </c>
      <c r="H247" s="69"/>
    </row>
    <row r="248" spans="1:8" hidden="1">
      <c r="A248" s="79" t="s">
        <v>207</v>
      </c>
      <c r="B248" s="69" t="s">
        <v>235</v>
      </c>
      <c r="C248" s="69"/>
      <c r="D248" s="69"/>
      <c r="E248" s="83"/>
      <c r="F248" s="84"/>
      <c r="G248" s="85"/>
      <c r="H248" s="85"/>
    </row>
    <row r="249" spans="1:8" ht="51" hidden="1" customHeight="1">
      <c r="A249" s="84"/>
      <c r="B249" s="85"/>
      <c r="C249" s="85"/>
      <c r="D249" s="85"/>
      <c r="E249" s="401" t="s">
        <v>788</v>
      </c>
      <c r="F249" s="181" t="s">
        <v>176</v>
      </c>
      <c r="G249" s="398" t="s">
        <v>661</v>
      </c>
      <c r="H249" s="181" t="s">
        <v>660</v>
      </c>
    </row>
    <row r="250" spans="1:8" hidden="1">
      <c r="A250" s="84"/>
      <c r="B250" s="85"/>
      <c r="C250" s="85"/>
      <c r="D250" s="85"/>
      <c r="E250" s="82"/>
      <c r="F250" s="165"/>
      <c r="G250" s="371" t="str">
        <f t="shared" ref="G250:G269" si="8">IF(F250&lt;&gt;"","Answer Required","")</f>
        <v/>
      </c>
      <c r="H250" s="370" t="str">
        <f t="shared" ref="H250:H269" si="9">IF(G250="","",IF(G250="No","Answer Required","N/A"))</f>
        <v/>
      </c>
    </row>
    <row r="251" spans="1:8" hidden="1">
      <c r="A251" s="84"/>
      <c r="B251" s="85"/>
      <c r="C251" s="85"/>
      <c r="D251" s="85"/>
      <c r="E251" s="82"/>
      <c r="F251" s="165"/>
      <c r="G251" s="371" t="str">
        <f t="shared" si="8"/>
        <v/>
      </c>
      <c r="H251" s="370" t="str">
        <f t="shared" si="9"/>
        <v/>
      </c>
    </row>
    <row r="252" spans="1:8" hidden="1">
      <c r="A252" s="84"/>
      <c r="B252" s="85"/>
      <c r="C252" s="85"/>
      <c r="D252" s="85"/>
      <c r="E252" s="82"/>
      <c r="F252" s="165"/>
      <c r="G252" s="371" t="str">
        <f t="shared" si="8"/>
        <v/>
      </c>
      <c r="H252" s="370" t="str">
        <f t="shared" si="9"/>
        <v/>
      </c>
    </row>
    <row r="253" spans="1:8" hidden="1">
      <c r="A253" s="84"/>
      <c r="B253" s="85"/>
      <c r="C253" s="85"/>
      <c r="D253" s="85"/>
      <c r="E253" s="82"/>
      <c r="F253" s="165"/>
      <c r="G253" s="371" t="str">
        <f t="shared" si="8"/>
        <v/>
      </c>
      <c r="H253" s="370" t="str">
        <f t="shared" si="9"/>
        <v/>
      </c>
    </row>
    <row r="254" spans="1:8" hidden="1">
      <c r="A254" s="84"/>
      <c r="B254" s="85"/>
      <c r="C254" s="85"/>
      <c r="D254" s="85"/>
      <c r="E254" s="82"/>
      <c r="F254" s="165"/>
      <c r="G254" s="371" t="str">
        <f t="shared" si="8"/>
        <v/>
      </c>
      <c r="H254" s="370" t="str">
        <f t="shared" si="9"/>
        <v/>
      </c>
    </row>
    <row r="255" spans="1:8" hidden="1">
      <c r="A255" s="84"/>
      <c r="B255" s="85"/>
      <c r="C255" s="85"/>
      <c r="D255" s="85"/>
      <c r="E255" s="82"/>
      <c r="F255" s="165"/>
      <c r="G255" s="371" t="str">
        <f t="shared" si="8"/>
        <v/>
      </c>
      <c r="H255" s="370" t="str">
        <f t="shared" si="9"/>
        <v/>
      </c>
    </row>
    <row r="256" spans="1:8" hidden="1">
      <c r="A256" s="84"/>
      <c r="B256" s="85"/>
      <c r="C256" s="85"/>
      <c r="D256" s="85"/>
      <c r="E256" s="82"/>
      <c r="F256" s="165"/>
      <c r="G256" s="371" t="str">
        <f t="shared" si="8"/>
        <v/>
      </c>
      <c r="H256" s="370" t="str">
        <f t="shared" si="9"/>
        <v/>
      </c>
    </row>
    <row r="257" spans="1:8" hidden="1">
      <c r="A257" s="84"/>
      <c r="B257" s="85"/>
      <c r="C257" s="85"/>
      <c r="D257" s="85"/>
      <c r="E257" s="82"/>
      <c r="F257" s="165"/>
      <c r="G257" s="371" t="str">
        <f t="shared" si="8"/>
        <v/>
      </c>
      <c r="H257" s="370" t="str">
        <f t="shared" si="9"/>
        <v/>
      </c>
    </row>
    <row r="258" spans="1:8" hidden="1">
      <c r="A258" s="84"/>
      <c r="B258" s="85"/>
      <c r="C258" s="85"/>
      <c r="D258" s="85"/>
      <c r="E258" s="82"/>
      <c r="F258" s="165"/>
      <c r="G258" s="371" t="str">
        <f t="shared" si="8"/>
        <v/>
      </c>
      <c r="H258" s="370" t="str">
        <f t="shared" si="9"/>
        <v/>
      </c>
    </row>
    <row r="259" spans="1:8" hidden="1">
      <c r="A259" s="84"/>
      <c r="B259" s="85"/>
      <c r="C259" s="85"/>
      <c r="D259" s="85"/>
      <c r="E259" s="82"/>
      <c r="F259" s="165"/>
      <c r="G259" s="371" t="str">
        <f t="shared" si="8"/>
        <v/>
      </c>
      <c r="H259" s="370" t="str">
        <f t="shared" si="9"/>
        <v/>
      </c>
    </row>
    <row r="260" spans="1:8" hidden="1">
      <c r="A260" s="84"/>
      <c r="B260" s="85"/>
      <c r="C260" s="85"/>
      <c r="D260" s="85"/>
      <c r="E260" s="82"/>
      <c r="F260" s="165"/>
      <c r="G260" s="371" t="str">
        <f t="shared" si="8"/>
        <v/>
      </c>
      <c r="H260" s="370" t="str">
        <f t="shared" si="9"/>
        <v/>
      </c>
    </row>
    <row r="261" spans="1:8" hidden="1">
      <c r="A261" s="84"/>
      <c r="B261" s="85"/>
      <c r="C261" s="85"/>
      <c r="D261" s="85"/>
      <c r="E261" s="82"/>
      <c r="F261" s="165"/>
      <c r="G261" s="371" t="str">
        <f t="shared" si="8"/>
        <v/>
      </c>
      <c r="H261" s="370" t="str">
        <f t="shared" si="9"/>
        <v/>
      </c>
    </row>
    <row r="262" spans="1:8" hidden="1">
      <c r="A262" s="84"/>
      <c r="B262" s="85"/>
      <c r="C262" s="85"/>
      <c r="D262" s="85"/>
      <c r="E262" s="82"/>
      <c r="F262" s="165"/>
      <c r="G262" s="371" t="str">
        <f t="shared" si="8"/>
        <v/>
      </c>
      <c r="H262" s="370" t="str">
        <f t="shared" si="9"/>
        <v/>
      </c>
    </row>
    <row r="263" spans="1:8" hidden="1">
      <c r="A263" s="84"/>
      <c r="B263" s="85"/>
      <c r="C263" s="85"/>
      <c r="D263" s="85"/>
      <c r="E263" s="82"/>
      <c r="F263" s="165"/>
      <c r="G263" s="371" t="str">
        <f t="shared" si="8"/>
        <v/>
      </c>
      <c r="H263" s="370" t="str">
        <f t="shared" si="9"/>
        <v/>
      </c>
    </row>
    <row r="264" spans="1:8" hidden="1">
      <c r="A264" s="84"/>
      <c r="B264" s="85"/>
      <c r="C264" s="85"/>
      <c r="D264" s="85"/>
      <c r="E264" s="82"/>
      <c r="F264" s="165"/>
      <c r="G264" s="371" t="str">
        <f t="shared" si="8"/>
        <v/>
      </c>
      <c r="H264" s="370" t="str">
        <f t="shared" si="9"/>
        <v/>
      </c>
    </row>
    <row r="265" spans="1:8" hidden="1">
      <c r="A265" s="84"/>
      <c r="B265" s="85"/>
      <c r="C265" s="85"/>
      <c r="D265" s="85"/>
      <c r="E265" s="82"/>
      <c r="F265" s="165"/>
      <c r="G265" s="371" t="str">
        <f t="shared" si="8"/>
        <v/>
      </c>
      <c r="H265" s="370" t="str">
        <f t="shared" si="9"/>
        <v/>
      </c>
    </row>
    <row r="266" spans="1:8" hidden="1">
      <c r="A266" s="84"/>
      <c r="B266" s="85"/>
      <c r="C266" s="85"/>
      <c r="D266" s="85"/>
      <c r="E266" s="82"/>
      <c r="F266" s="165"/>
      <c r="G266" s="371" t="str">
        <f t="shared" si="8"/>
        <v/>
      </c>
      <c r="H266" s="370" t="str">
        <f t="shared" si="9"/>
        <v/>
      </c>
    </row>
    <row r="267" spans="1:8" hidden="1">
      <c r="A267" s="84"/>
      <c r="B267" s="85"/>
      <c r="C267" s="85"/>
      <c r="D267" s="85"/>
      <c r="E267" s="82"/>
      <c r="F267" s="165"/>
      <c r="G267" s="371" t="str">
        <f t="shared" si="8"/>
        <v/>
      </c>
      <c r="H267" s="370" t="str">
        <f t="shared" si="9"/>
        <v/>
      </c>
    </row>
    <row r="268" spans="1:8" hidden="1">
      <c r="A268" s="84"/>
      <c r="B268" s="85"/>
      <c r="C268" s="85"/>
      <c r="D268" s="85"/>
      <c r="E268" s="82"/>
      <c r="F268" s="165"/>
      <c r="G268" s="371" t="str">
        <f t="shared" si="8"/>
        <v/>
      </c>
      <c r="H268" s="370" t="str">
        <f t="shared" si="9"/>
        <v/>
      </c>
    </row>
    <row r="269" spans="1:8" hidden="1">
      <c r="A269" s="84"/>
      <c r="B269" s="85"/>
      <c r="C269" s="85"/>
      <c r="D269" s="85"/>
      <c r="E269" s="82"/>
      <c r="F269" s="165"/>
      <c r="G269" s="371" t="str">
        <f t="shared" si="8"/>
        <v/>
      </c>
      <c r="H269" s="370" t="str">
        <f t="shared" si="9"/>
        <v/>
      </c>
    </row>
    <row r="270" spans="1:8" ht="13.5" hidden="1" thickBot="1">
      <c r="A270" s="85"/>
      <c r="B270" s="85"/>
      <c r="C270" s="85"/>
      <c r="D270" s="85"/>
      <c r="E270" s="98" t="s">
        <v>435</v>
      </c>
      <c r="F270" s="164">
        <f>IF(SUM(F250:F269)='Component Unit Template'!K45+'Component Unit Template'!K51,SUM(F250:F269),"ERROR")</f>
        <v>0</v>
      </c>
    </row>
    <row r="271" spans="1:8" ht="13.5" hidden="1" thickTop="1">
      <c r="A271" s="27"/>
      <c r="B271" s="27"/>
      <c r="C271" s="31"/>
      <c r="D271" s="29"/>
      <c r="E271" s="86"/>
      <c r="F271" s="123">
        <f>(SUM(F250:F269))-(SUM('Component Unit Template'!K45+'Component Unit Template'!K51))</f>
        <v>0</v>
      </c>
      <c r="G271" s="369" t="s">
        <v>48</v>
      </c>
      <c r="H271" s="27"/>
    </row>
    <row r="272" spans="1:8">
      <c r="A272" s="79" t="s">
        <v>207</v>
      </c>
      <c r="B272" s="69" t="s">
        <v>833</v>
      </c>
      <c r="C272" s="69"/>
      <c r="D272" s="69"/>
      <c r="E272" s="83"/>
      <c r="F272" s="84"/>
      <c r="G272" s="85"/>
      <c r="H272" s="85"/>
    </row>
    <row r="273" spans="1:8" ht="38.25">
      <c r="A273" s="84"/>
      <c r="B273" s="85"/>
      <c r="C273" s="85"/>
      <c r="D273" s="85"/>
      <c r="E273" s="401" t="s">
        <v>788</v>
      </c>
      <c r="F273" s="181" t="s">
        <v>176</v>
      </c>
      <c r="G273" s="398" t="s">
        <v>661</v>
      </c>
      <c r="H273" s="181" t="s">
        <v>660</v>
      </c>
    </row>
    <row r="274" spans="1:8">
      <c r="A274" s="84"/>
      <c r="B274" s="85"/>
      <c r="C274" s="85"/>
      <c r="D274" s="85"/>
      <c r="E274" s="82"/>
      <c r="F274" s="165"/>
      <c r="G274" s="371" t="str">
        <f t="shared" ref="G274:G293" si="10">IF(F274&lt;&gt;"","Answer Required","")</f>
        <v/>
      </c>
      <c r="H274" s="370" t="str">
        <f t="shared" ref="H274:H293" si="11">IF(G274="","",IF(G274="No","Answer Required","N/A"))</f>
        <v/>
      </c>
    </row>
    <row r="275" spans="1:8">
      <c r="A275" s="84"/>
      <c r="B275" s="85"/>
      <c r="C275" s="85"/>
      <c r="D275" s="85"/>
      <c r="E275" s="82"/>
      <c r="F275" s="165"/>
      <c r="G275" s="371" t="str">
        <f t="shared" si="10"/>
        <v/>
      </c>
      <c r="H275" s="370" t="str">
        <f t="shared" si="11"/>
        <v/>
      </c>
    </row>
    <row r="276" spans="1:8">
      <c r="A276" s="84"/>
      <c r="B276" s="85"/>
      <c r="C276" s="85"/>
      <c r="D276" s="85"/>
      <c r="E276" s="82"/>
      <c r="F276" s="165"/>
      <c r="G276" s="371" t="str">
        <f t="shared" si="10"/>
        <v/>
      </c>
      <c r="H276" s="370" t="str">
        <f t="shared" si="11"/>
        <v/>
      </c>
    </row>
    <row r="277" spans="1:8">
      <c r="A277" s="84"/>
      <c r="B277" s="85"/>
      <c r="C277" s="85"/>
      <c r="D277" s="85"/>
      <c r="E277" s="82"/>
      <c r="F277" s="165"/>
      <c r="G277" s="371" t="str">
        <f t="shared" si="10"/>
        <v/>
      </c>
      <c r="H277" s="370" t="str">
        <f t="shared" si="11"/>
        <v/>
      </c>
    </row>
    <row r="278" spans="1:8">
      <c r="A278" s="84"/>
      <c r="B278" s="85"/>
      <c r="C278" s="85"/>
      <c r="D278" s="85"/>
      <c r="E278" s="82"/>
      <c r="F278" s="165"/>
      <c r="G278" s="371" t="str">
        <f t="shared" si="10"/>
        <v/>
      </c>
      <c r="H278" s="370" t="str">
        <f t="shared" si="11"/>
        <v/>
      </c>
    </row>
    <row r="279" spans="1:8">
      <c r="A279" s="84"/>
      <c r="B279" s="85"/>
      <c r="C279" s="85"/>
      <c r="D279" s="85"/>
      <c r="E279" s="82"/>
      <c r="F279" s="165"/>
      <c r="G279" s="371" t="str">
        <f t="shared" si="10"/>
        <v/>
      </c>
      <c r="H279" s="370" t="str">
        <f t="shared" si="11"/>
        <v/>
      </c>
    </row>
    <row r="280" spans="1:8">
      <c r="A280" s="84"/>
      <c r="B280" s="85"/>
      <c r="C280" s="85"/>
      <c r="D280" s="85"/>
      <c r="E280" s="82"/>
      <c r="F280" s="165"/>
      <c r="G280" s="371" t="str">
        <f t="shared" si="10"/>
        <v/>
      </c>
      <c r="H280" s="370" t="str">
        <f t="shared" si="11"/>
        <v/>
      </c>
    </row>
    <row r="281" spans="1:8">
      <c r="A281" s="84"/>
      <c r="B281" s="85"/>
      <c r="C281" s="85"/>
      <c r="D281" s="85"/>
      <c r="E281" s="82"/>
      <c r="F281" s="165"/>
      <c r="G281" s="371" t="str">
        <f t="shared" si="10"/>
        <v/>
      </c>
      <c r="H281" s="370" t="str">
        <f t="shared" si="11"/>
        <v/>
      </c>
    </row>
    <row r="282" spans="1:8">
      <c r="A282" s="84"/>
      <c r="B282" s="85"/>
      <c r="C282" s="85"/>
      <c r="D282" s="85"/>
      <c r="E282" s="82"/>
      <c r="F282" s="165"/>
      <c r="G282" s="371" t="str">
        <f t="shared" si="10"/>
        <v/>
      </c>
      <c r="H282" s="370" t="str">
        <f t="shared" si="11"/>
        <v/>
      </c>
    </row>
    <row r="283" spans="1:8">
      <c r="A283" s="84"/>
      <c r="B283" s="85"/>
      <c r="C283" s="85"/>
      <c r="D283" s="85"/>
      <c r="E283" s="82"/>
      <c r="F283" s="165"/>
      <c r="G283" s="371" t="str">
        <f t="shared" si="10"/>
        <v/>
      </c>
      <c r="H283" s="370" t="str">
        <f t="shared" si="11"/>
        <v/>
      </c>
    </row>
    <row r="284" spans="1:8">
      <c r="A284" s="84"/>
      <c r="B284" s="85"/>
      <c r="C284" s="85"/>
      <c r="D284" s="85"/>
      <c r="E284" s="82"/>
      <c r="F284" s="165"/>
      <c r="G284" s="371" t="str">
        <f t="shared" si="10"/>
        <v/>
      </c>
      <c r="H284" s="370" t="str">
        <f t="shared" si="11"/>
        <v/>
      </c>
    </row>
    <row r="285" spans="1:8">
      <c r="A285" s="84"/>
      <c r="B285" s="85"/>
      <c r="C285" s="85"/>
      <c r="D285" s="85"/>
      <c r="E285" s="82"/>
      <c r="F285" s="165"/>
      <c r="G285" s="371" t="str">
        <f t="shared" si="10"/>
        <v/>
      </c>
      <c r="H285" s="370" t="str">
        <f t="shared" si="11"/>
        <v/>
      </c>
    </row>
    <row r="286" spans="1:8">
      <c r="A286" s="84"/>
      <c r="B286" s="85"/>
      <c r="C286" s="85"/>
      <c r="D286" s="85"/>
      <c r="E286" s="82"/>
      <c r="F286" s="165"/>
      <c r="G286" s="371" t="str">
        <f t="shared" si="10"/>
        <v/>
      </c>
      <c r="H286" s="370" t="str">
        <f t="shared" si="11"/>
        <v/>
      </c>
    </row>
    <row r="287" spans="1:8">
      <c r="A287" s="84"/>
      <c r="B287" s="85"/>
      <c r="C287" s="85"/>
      <c r="D287" s="85"/>
      <c r="E287" s="82"/>
      <c r="F287" s="165"/>
      <c r="G287" s="371" t="str">
        <f t="shared" si="10"/>
        <v/>
      </c>
      <c r="H287" s="370" t="str">
        <f t="shared" si="11"/>
        <v/>
      </c>
    </row>
    <row r="288" spans="1:8">
      <c r="A288" s="84"/>
      <c r="B288" s="85"/>
      <c r="C288" s="85"/>
      <c r="D288" s="85"/>
      <c r="E288" s="82"/>
      <c r="F288" s="165"/>
      <c r="G288" s="371" t="str">
        <f t="shared" si="10"/>
        <v/>
      </c>
      <c r="H288" s="370" t="str">
        <f t="shared" si="11"/>
        <v/>
      </c>
    </row>
    <row r="289" spans="1:8">
      <c r="A289" s="84"/>
      <c r="B289" s="85"/>
      <c r="C289" s="85"/>
      <c r="D289" s="85"/>
      <c r="E289" s="82"/>
      <c r="F289" s="165"/>
      <c r="G289" s="371" t="str">
        <f t="shared" si="10"/>
        <v/>
      </c>
      <c r="H289" s="370" t="str">
        <f t="shared" si="11"/>
        <v/>
      </c>
    </row>
    <row r="290" spans="1:8">
      <c r="A290" s="84"/>
      <c r="B290" s="85"/>
      <c r="C290" s="85"/>
      <c r="D290" s="85"/>
      <c r="E290" s="82"/>
      <c r="F290" s="165"/>
      <c r="G290" s="371" t="str">
        <f t="shared" si="10"/>
        <v/>
      </c>
      <c r="H290" s="370" t="str">
        <f t="shared" si="11"/>
        <v/>
      </c>
    </row>
    <row r="291" spans="1:8">
      <c r="A291" s="84"/>
      <c r="B291" s="85"/>
      <c r="C291" s="85"/>
      <c r="D291" s="85"/>
      <c r="E291" s="82"/>
      <c r="F291" s="165"/>
      <c r="G291" s="371" t="str">
        <f t="shared" si="10"/>
        <v/>
      </c>
      <c r="H291" s="370" t="str">
        <f t="shared" si="11"/>
        <v/>
      </c>
    </row>
    <row r="292" spans="1:8">
      <c r="A292" s="84"/>
      <c r="B292" s="85"/>
      <c r="C292" s="85"/>
      <c r="D292" s="85"/>
      <c r="E292" s="82"/>
      <c r="F292" s="165"/>
      <c r="G292" s="371" t="str">
        <f t="shared" si="10"/>
        <v/>
      </c>
      <c r="H292" s="370" t="str">
        <f t="shared" si="11"/>
        <v/>
      </c>
    </row>
    <row r="293" spans="1:8">
      <c r="A293" s="84"/>
      <c r="B293" s="85"/>
      <c r="C293" s="85"/>
      <c r="D293" s="85"/>
      <c r="E293" s="82"/>
      <c r="F293" s="165"/>
      <c r="G293" s="371" t="str">
        <f t="shared" si="10"/>
        <v/>
      </c>
      <c r="H293" s="370" t="str">
        <f t="shared" si="11"/>
        <v/>
      </c>
    </row>
    <row r="294" spans="1:8" ht="13.5" thickBot="1">
      <c r="A294" s="85"/>
      <c r="B294" s="85"/>
      <c r="C294" s="85"/>
      <c r="D294" s="85"/>
      <c r="E294" s="98" t="s">
        <v>435</v>
      </c>
      <c r="F294" s="164">
        <f>IF(SUM(F274:F293)='Component Unit Template'!K92+'Component Unit Template'!K98,SUM(F274:F293),"ERROR")</f>
        <v>0</v>
      </c>
    </row>
    <row r="295" spans="1:8" ht="13.5" customHeight="1" thickTop="1">
      <c r="A295" s="85"/>
      <c r="B295" s="85"/>
      <c r="C295" s="85"/>
      <c r="D295" s="85"/>
      <c r="E295" s="83"/>
      <c r="F295" s="123">
        <f>(SUM(F274:F293))-(SUM('Component Unit Template'!K92+'Component Unit Template'!K98))</f>
        <v>0</v>
      </c>
      <c r="G295" s="369" t="s">
        <v>48</v>
      </c>
      <c r="H295" s="92"/>
    </row>
    <row r="296" spans="1:8" ht="13.5" customHeight="1">
      <c r="A296" s="85"/>
      <c r="B296" s="85"/>
      <c r="C296" s="85"/>
      <c r="D296" s="85"/>
      <c r="E296" s="83"/>
      <c r="F296" s="123"/>
      <c r="G296" s="369"/>
      <c r="H296" s="92"/>
    </row>
    <row r="297" spans="1:8">
      <c r="A297" s="39" t="s">
        <v>208</v>
      </c>
      <c r="B297" s="29" t="s">
        <v>918</v>
      </c>
      <c r="C297" s="31"/>
      <c r="D297" s="27"/>
      <c r="E297" s="27"/>
      <c r="F297" s="40"/>
      <c r="H297" s="36"/>
    </row>
    <row r="298" spans="1:8">
      <c r="A298" s="29"/>
      <c r="B298" s="29" t="s">
        <v>789</v>
      </c>
      <c r="C298" s="31"/>
      <c r="D298" s="27"/>
      <c r="E298" s="27"/>
      <c r="F298" s="40"/>
      <c r="H298" s="93" t="str">
        <f>IF(H106&gt;SUM('Tab 1B-Cash Eq. &amp; Inv. Not w Tr'!D16:D45),"Yes","No")</f>
        <v>No</v>
      </c>
    </row>
    <row r="299" spans="1:8">
      <c r="A299" s="29"/>
      <c r="B299" s="29" t="s">
        <v>391</v>
      </c>
      <c r="C299" s="31"/>
      <c r="D299" s="27"/>
      <c r="E299" s="27"/>
      <c r="F299" s="40"/>
      <c r="H299" s="486" t="str">
        <f>IF(H298="Yes","Answer Required","N/A")</f>
        <v>N/A</v>
      </c>
    </row>
    <row r="300" spans="1:8">
      <c r="A300" s="29"/>
      <c r="B300" s="39"/>
      <c r="C300" s="31"/>
      <c r="D300" s="27"/>
      <c r="E300" s="27"/>
      <c r="F300" s="40"/>
      <c r="H300" s="36"/>
    </row>
    <row r="301" spans="1:8" hidden="1">
      <c r="A301" s="29"/>
      <c r="B301" s="416"/>
      <c r="C301" s="417"/>
      <c r="D301" s="418"/>
      <c r="E301" s="418"/>
      <c r="F301" s="419"/>
      <c r="G301" s="418"/>
    </row>
    <row r="302" spans="1:8" hidden="1">
      <c r="A302" s="29"/>
      <c r="B302" s="416"/>
      <c r="C302" s="417"/>
      <c r="D302" s="418"/>
      <c r="E302" s="418"/>
      <c r="F302" s="419"/>
      <c r="G302" s="418"/>
    </row>
    <row r="303" spans="1:8" hidden="1">
      <c r="A303" s="29"/>
      <c r="B303" s="39"/>
      <c r="C303" s="31"/>
      <c r="D303" s="27"/>
      <c r="E303" s="27"/>
      <c r="F303" s="40"/>
      <c r="H303" s="238"/>
    </row>
    <row r="304" spans="1:8">
      <c r="A304" s="29"/>
      <c r="B304" s="29" t="s">
        <v>702</v>
      </c>
      <c r="C304" s="31"/>
      <c r="D304" s="27"/>
      <c r="E304" s="27"/>
      <c r="F304" s="40"/>
      <c r="H304" s="313" t="str">
        <f>IF(SUM('Tab 1B-Cash Eq. &amp; Inv. Not w Tr'!F16:F45)&gt;0,"Answer Required","N/A")</f>
        <v>N/A</v>
      </c>
    </row>
    <row r="305" spans="1:8">
      <c r="A305" s="29"/>
      <c r="B305" s="29" t="s">
        <v>149</v>
      </c>
      <c r="C305" s="31"/>
      <c r="D305" s="27"/>
      <c r="E305" s="27"/>
      <c r="F305" s="40"/>
      <c r="H305" s="486" t="str">
        <f>IF(H304="No","Answer Required","N/A")</f>
        <v>N/A</v>
      </c>
    </row>
    <row r="306" spans="1:8">
      <c r="A306" s="29"/>
      <c r="B306" s="39"/>
      <c r="C306" s="31"/>
      <c r="D306" s="27"/>
      <c r="E306" s="27"/>
      <c r="F306" s="40"/>
      <c r="H306" s="36"/>
    </row>
    <row r="307" spans="1:8">
      <c r="A307" s="85"/>
      <c r="B307" s="85"/>
      <c r="C307" s="85"/>
      <c r="D307" s="85"/>
      <c r="E307" s="83"/>
      <c r="F307" s="84"/>
      <c r="G307" s="85"/>
      <c r="H307" s="92"/>
    </row>
    <row r="308" spans="1:8">
      <c r="A308" s="39"/>
      <c r="B308" s="29"/>
      <c r="C308" s="29"/>
      <c r="D308" s="27"/>
      <c r="E308" s="27"/>
      <c r="F308" s="27"/>
      <c r="G308" s="27"/>
      <c r="H308" s="27"/>
    </row>
    <row r="309" spans="1:8">
      <c r="A309" s="39"/>
      <c r="B309" s="29"/>
      <c r="C309" s="31"/>
      <c r="D309" s="27"/>
      <c r="E309" s="27"/>
      <c r="F309" s="40"/>
      <c r="G309" s="27"/>
      <c r="H309" s="27"/>
    </row>
    <row r="310" spans="1:8">
      <c r="A310" s="39"/>
      <c r="B310" s="29"/>
      <c r="C310" s="31"/>
      <c r="D310" s="27"/>
      <c r="E310" s="27"/>
      <c r="F310" s="40"/>
      <c r="G310" s="27"/>
      <c r="H310" s="27"/>
    </row>
    <row r="311" spans="1:8">
      <c r="A311" s="27"/>
      <c r="B311" s="27"/>
      <c r="C311" s="27"/>
      <c r="D311" s="27"/>
      <c r="E311" s="27"/>
      <c r="F311" s="27"/>
      <c r="G311" s="27"/>
      <c r="H311" s="27"/>
    </row>
    <row r="312" spans="1:8">
      <c r="A312" s="27"/>
      <c r="B312" s="27"/>
      <c r="C312" s="27"/>
      <c r="D312" s="27"/>
      <c r="E312" s="27"/>
      <c r="F312" s="27"/>
      <c r="G312" s="27"/>
      <c r="H312" s="27"/>
    </row>
    <row r="313" spans="1:8">
      <c r="A313" s="27"/>
      <c r="B313" s="27"/>
      <c r="C313" s="27"/>
      <c r="D313" s="27"/>
      <c r="E313" s="27"/>
      <c r="F313" s="27"/>
      <c r="G313" s="27"/>
      <c r="H313" s="27"/>
    </row>
    <row r="314" spans="1:8">
      <c r="A314" s="27"/>
      <c r="B314" s="27"/>
      <c r="C314" s="27"/>
      <c r="D314" s="27"/>
      <c r="E314" s="27"/>
      <c r="F314" s="27"/>
      <c r="G314" s="27"/>
      <c r="H314" s="27"/>
    </row>
    <row r="315" spans="1:8">
      <c r="A315" s="27"/>
      <c r="B315" s="27"/>
      <c r="C315" s="27"/>
      <c r="D315" s="27"/>
      <c r="E315" s="27"/>
      <c r="F315" s="27"/>
      <c r="G315" s="27"/>
      <c r="H315" s="27"/>
    </row>
    <row r="316" spans="1:8">
      <c r="A316" s="27"/>
      <c r="B316" s="27"/>
      <c r="C316" s="27"/>
      <c r="D316" s="27"/>
      <c r="E316" s="27"/>
      <c r="F316" s="27"/>
      <c r="G316" s="27"/>
      <c r="H316" s="27"/>
    </row>
    <row r="317" spans="1:8">
      <c r="A317" s="39"/>
      <c r="B317" s="39"/>
      <c r="C317" s="31"/>
      <c r="D317" s="27"/>
      <c r="E317" s="27"/>
      <c r="F317" s="40"/>
      <c r="G317" s="27"/>
      <c r="H317" s="27"/>
    </row>
    <row r="319" spans="1:8" hidden="1">
      <c r="G319" s="236" t="s">
        <v>403</v>
      </c>
    </row>
    <row r="320" spans="1:8" hidden="1">
      <c r="G320" s="236" t="s">
        <v>492</v>
      </c>
    </row>
    <row r="321" spans="7:7" hidden="1">
      <c r="G321" s="236" t="s">
        <v>187</v>
      </c>
    </row>
  </sheetData>
  <sheetProtection algorithmName="SHA-512" hashValue="hFdu7QTJY2uyrekyGVQugRRBXIW3PZ/uLrWAgw4vfzgE8OT7obgRKGX/zeCIYIiZ8ahLpjkeEBYTsX5KBoYCDg==" saltValue="C4RWm8nh3EuWAIpJtZc4qA==" spinCount="100000" sheet="1" objects="1" scenarios="1"/>
  <customSheetViews>
    <customSheetView guid="{21549FED-0843-409C-B56D-2EB16B98EF5E}" showGridLines="0" hiddenRows="1">
      <selection activeCell="C3" sqref="C3:E3"/>
      <rowBreaks count="2" manualBreakCount="2">
        <brk id="149" max="9" man="1"/>
        <brk id="247" max="9" man="1"/>
      </rowBreaks>
      <pageMargins left="0.75" right="0.25" top="0.64" bottom="0.47" header="0.31" footer="0.28000000000000003"/>
      <pageSetup scale="47" orientation="portrait" cellComments="asDisplayed" r:id="rId1"/>
      <headerFooter alignWithMargins="0">
        <oddHeader>&amp;C&amp;"Times New Roman,Bold"Attachment CU4 - FASB Foundations
Financial Statement Template (FST)
&amp;A</oddHeader>
        <oddFooter>&amp;L&amp;F \ &amp;A&amp;RPage &amp;P</oddFooter>
      </headerFooter>
    </customSheetView>
    <customSheetView guid="{83B11BDE-9087-4120-8F71-87939A6C277C}" scale="85" showPageBreaks="1" showGridLines="0" printArea="1" hiddenRows="1" view="pageBreakPreview" topLeftCell="A293">
      <selection activeCell="B335" sqref="B335:G343"/>
      <rowBreaks count="2" manualBreakCount="2">
        <brk id="128" max="9" man="1"/>
        <brk id="241" max="9" man="1"/>
      </rowBreaks>
      <pageMargins left="0.75" right="0.25" top="0.64" bottom="0.47" header="0.31" footer="0.28000000000000003"/>
      <pageSetup scale="49" orientation="portrait" cellComments="asDisplayed" r:id="rId2"/>
      <headerFooter alignWithMargins="0">
        <oddHeader>&amp;C&amp;"Times New Roman,Bold"Attachment CU4 - FASB Foundations
Financial Statement Template (FST)
&amp;A</oddHeader>
        <oddFooter>&amp;L&amp;F \ &amp;A&amp;RPage &amp;P</oddFooter>
      </headerFooter>
    </customSheetView>
    <customSheetView guid="{5A69DEB5-9E8B-40C6-849E-49B804F6ED86}" scale="85" showPageBreaks="1" showGridLines="0" printArea="1" hiddenRows="1" view="pageBreakPreview" topLeftCell="A119">
      <selection activeCell="E74" sqref="E74"/>
      <rowBreaks count="2" manualBreakCount="2">
        <brk id="132" max="9" man="1"/>
        <brk id="245" max="9" man="1"/>
      </rowBreaks>
      <pageMargins left="0.75" right="0.25" top="0.64" bottom="0.47" header="0.31" footer="0.28000000000000003"/>
      <pageSetup scale="49" orientation="portrait" cellComments="asDisplayed" r:id="rId3"/>
      <headerFooter alignWithMargins="0">
        <oddHeader>&amp;C&amp;"Times New Roman,Bold"Attachment CU4 - FASB Foundations
Financial Statement Template (FST)
&amp;A</oddHeader>
        <oddFooter>&amp;L&amp;F \ &amp;A&amp;RPage &amp;P</oddFooter>
      </headerFooter>
    </customSheetView>
    <customSheetView guid="{C3905544-E3E5-4318-8AA2-F7DE16A9B8E7}" scale="85" showPageBreaks="1" showGridLines="0" printArea="1" hiddenRows="1" view="pageBreakPreview" topLeftCell="A293">
      <selection activeCell="I330" sqref="I330"/>
      <rowBreaks count="2" manualBreakCount="2">
        <brk id="128" max="9" man="1"/>
        <brk id="241" max="9" man="1"/>
      </rowBreaks>
      <pageMargins left="0.75" right="0.25" top="0.64" bottom="0.47" header="0.31" footer="0.28000000000000003"/>
      <pageSetup scale="49" orientation="portrait" cellComments="asDisplayed" r:id="rId4"/>
      <headerFooter alignWithMargins="0">
        <oddHeader>&amp;C&amp;"Times New Roman,Bold"Attachment CU4 - FASB Foundations
Financial Statement Template (FST)
&amp;A</oddHeader>
        <oddFooter>&amp;L&amp;F \ &amp;A&amp;RPage &amp;P</oddFooter>
      </headerFooter>
    </customSheetView>
  </customSheetViews>
  <mergeCells count="35">
    <mergeCell ref="E151:F151"/>
    <mergeCell ref="E176:F176"/>
    <mergeCell ref="C131:G131"/>
    <mergeCell ref="D136:F136"/>
    <mergeCell ref="D145:F145"/>
    <mergeCell ref="D146:F146"/>
    <mergeCell ref="C147:G147"/>
    <mergeCell ref="D138:F138"/>
    <mergeCell ref="C139:G139"/>
    <mergeCell ref="D144:F144"/>
    <mergeCell ref="C113:G113"/>
    <mergeCell ref="C106:G106"/>
    <mergeCell ref="C112:G112"/>
    <mergeCell ref="D137:F137"/>
    <mergeCell ref="C114:G114"/>
    <mergeCell ref="C115:G115"/>
    <mergeCell ref="D120:F120"/>
    <mergeCell ref="D121:F121"/>
    <mergeCell ref="D122:F122"/>
    <mergeCell ref="C123:G123"/>
    <mergeCell ref="D128:F128"/>
    <mergeCell ref="D129:F129"/>
    <mergeCell ref="D130:F130"/>
    <mergeCell ref="A4:B4"/>
    <mergeCell ref="C4:E4"/>
    <mergeCell ref="A5:B5"/>
    <mergeCell ref="C5:E5"/>
    <mergeCell ref="A6:B6"/>
    <mergeCell ref="C6:E6"/>
    <mergeCell ref="A1:B1"/>
    <mergeCell ref="C1:E1"/>
    <mergeCell ref="A2:B2"/>
    <mergeCell ref="C2:E2"/>
    <mergeCell ref="A3:B3"/>
    <mergeCell ref="C3:E3"/>
  </mergeCells>
  <conditionalFormatting sqref="G153:H172">
    <cfRule type="containsText" dxfId="48" priority="7" operator="containsText" text="Answer Required">
      <formula>NOT(ISERROR(SEARCH("Answer Required",G153)))</formula>
    </cfRule>
  </conditionalFormatting>
  <conditionalFormatting sqref="G178:H197 G202:H221 G226:H245">
    <cfRule type="containsText" dxfId="47" priority="13" operator="containsText" text="Answer Required">
      <formula>NOT(ISERROR(SEARCH("Answer Required",G178)))</formula>
    </cfRule>
  </conditionalFormatting>
  <conditionalFormatting sqref="G250:H269">
    <cfRule type="containsText" dxfId="46" priority="12" operator="containsText" text="Answer Required">
      <formula>NOT(ISERROR(SEARCH("Answer Required",G250)))</formula>
    </cfRule>
  </conditionalFormatting>
  <conditionalFormatting sqref="G274:H293">
    <cfRule type="containsText" dxfId="45" priority="11" operator="containsText" text="Answer Required">
      <formula>NOT(ISERROR(SEARCH("Answer Required",G274)))</formula>
    </cfRule>
  </conditionalFormatting>
  <conditionalFormatting sqref="H35">
    <cfRule type="containsText" dxfId="44" priority="4" operator="containsText" text="Answer Required">
      <formula>NOT(ISERROR(SEARCH("Answer Required",H35)))</formula>
    </cfRule>
  </conditionalFormatting>
  <conditionalFormatting sqref="H40">
    <cfRule type="containsText" dxfId="43" priority="3" operator="containsText" text="Answer Required">
      <formula>NOT(ISERROR(SEARCH("Answer Required",H40)))</formula>
    </cfRule>
  </conditionalFormatting>
  <conditionalFormatting sqref="H52">
    <cfRule type="containsText" dxfId="42" priority="17" operator="containsText" text="Answer Required">
      <formula>NOT(ISERROR(SEARCH("Answer Required",H52)))</formula>
    </cfRule>
  </conditionalFormatting>
  <conditionalFormatting sqref="H69">
    <cfRule type="containsText" dxfId="41" priority="2" operator="containsText" text="Answer Required">
      <formula>NOT(ISERROR(SEARCH("Answer Required",H69)))</formula>
    </cfRule>
  </conditionalFormatting>
  <conditionalFormatting sqref="H81">
    <cfRule type="containsText" dxfId="40" priority="16" operator="containsText" text="Answer Required">
      <formula>NOT(ISERROR(SEARCH("Answer Required",H81)))</formula>
    </cfRule>
  </conditionalFormatting>
  <conditionalFormatting sqref="H299">
    <cfRule type="containsText" dxfId="39" priority="6" operator="containsText" text="Answer Required">
      <formula>NOT(ISERROR(SEARCH("Answer Required",H299)))</formula>
    </cfRule>
  </conditionalFormatting>
  <conditionalFormatting sqref="H304">
    <cfRule type="cellIs" dxfId="38" priority="24" operator="equal">
      <formula>"Answer Required"</formula>
    </cfRule>
  </conditionalFormatting>
  <conditionalFormatting sqref="H305">
    <cfRule type="containsText" dxfId="37" priority="5" operator="containsText" text="Answer Required">
      <formula>NOT(ISERROR(SEARCH("Answer Required",H305)))</formula>
    </cfRule>
  </conditionalFormatting>
  <conditionalFormatting sqref="I39">
    <cfRule type="cellIs" dxfId="36" priority="10" operator="equal">
      <formula>"Answer Required"</formula>
    </cfRule>
  </conditionalFormatting>
  <conditionalFormatting sqref="I52">
    <cfRule type="cellIs" dxfId="35" priority="9" operator="equal">
      <formula>"Answer Required"</formula>
    </cfRule>
  </conditionalFormatting>
  <conditionalFormatting sqref="I68">
    <cfRule type="cellIs" dxfId="34" priority="1" operator="equal">
      <formula>"Answer Required"</formula>
    </cfRule>
  </conditionalFormatting>
  <conditionalFormatting sqref="I81">
    <cfRule type="cellIs" dxfId="33" priority="8" operator="equal">
      <formula>"Answer Required"</formula>
    </cfRule>
  </conditionalFormatting>
  <dataValidations count="10">
    <dataValidation type="date" allowBlank="1" showInputMessage="1" showErrorMessage="1" error="Enter a date between 6/1/04 and 12/15/04." sqref="B7:D10 B28:D30" xr:uid="{00000000-0002-0000-0300-000000000000}">
      <formula1>38139</formula1>
      <formula2>38336</formula2>
    </dataValidation>
    <dataValidation type="whole" allowBlank="1" showInputMessage="1" showErrorMessage="1" sqref="H31:H32" xr:uid="{00000000-0002-0000-0300-000001000000}">
      <formula1>-99999999999</formula1>
      <formula2>999999999999999</formula2>
    </dataValidation>
    <dataValidation type="whole" allowBlank="1" showInputMessage="1" showErrorMessage="1" error="Enter whole number." sqref="H112 H106" xr:uid="{00000000-0002-0000-0300-000002000000}">
      <formula1>-10000000000000000000</formula1>
      <formula2>10000000000000000000</formula2>
    </dataValidation>
    <dataValidation type="whole" allowBlank="1" showInputMessage="1" showErrorMessage="1" errorTitle="Enter Whole Number" error="Please enter a whole number." promptTitle="Enter a whole number" sqref="H108:H111 H38 H48:H50 H102:H105 H36 H33:H34 H77:H78 H67 H75 H41:H43 H46 H71:H72" xr:uid="{00000000-0002-0000-0300-000003000000}">
      <formula1>-999999999999</formula1>
      <formula2>999999999999</formula2>
    </dataValidation>
    <dataValidation allowBlank="1" showInputMessage="1" showErrorMessage="1" error="Enter whole number." sqref="A113:B114 H113:H114 C113" xr:uid="{00000000-0002-0000-0300-000004000000}"/>
    <dataValidation type="whole" allowBlank="1" showInputMessage="1" showErrorMessage="1" error="Enter a whole number." sqref="H120:H122 H87:H89 H83 H136:H138 H68 H58:H60 H54 H128:H130 H144:H146 F274:F293 F250:F269 F226:F245 F202:F221 H39 H44:H45 H47 H73:H74 H76 E153:F172 E178:F197 H81 H52" xr:uid="{00000000-0002-0000-0300-000005000000}">
      <formula1>-9999999999999</formula1>
      <formula2>9999999999999</formula2>
    </dataValidation>
    <dataValidation type="whole" allowBlank="1" showInputMessage="1" showErrorMessage="1" errorTitle="Enter Whole Number" error="The agency did not enter a whole number, please round the amount.  Enter a whole number ONLY." promptTitle="Enter a whole number" sqref="H65 H61 H91" xr:uid="{00000000-0002-0000-0300-000006000000}">
      <formula1>-9999999999</formula1>
      <formula2>9999999999</formula2>
    </dataValidation>
    <dataValidation allowBlank="1" showInputMessage="1" showErrorMessage="1" errorTitle="Enter Whole Number" error="The agency did not enter a whole number, please round the amount.  Enter a whole number ONLY." promptTitle="Enter a whole number" sqref="H62:H63 H92:H93" xr:uid="{00000000-0002-0000-0300-000007000000}"/>
    <dataValidation type="list" allowBlank="1" showInputMessage="1" showErrorMessage="1" error="Use the drop-down list to enter Yes or No." sqref="G202:G221 G274:G293 G250:G269 G226:G245 G178:G197 G153:G172" xr:uid="{00000000-0002-0000-0300-000008000000}">
      <formula1>$G$319:$G$320</formula1>
    </dataValidation>
    <dataValidation type="list" allowBlank="1" showErrorMessage="1" error="Use the drop-down list to enter Yes, No, or N/A." sqref="H304" xr:uid="{00000000-0002-0000-0300-00000D000000}">
      <formula1>$G$319:$G$321</formula1>
    </dataValidation>
  </dataValidations>
  <pageMargins left="0.75" right="0.25" top="0.64" bottom="0.47" header="0.31" footer="0.28000000000000003"/>
  <pageSetup scale="48" orientation="portrait" cellComments="asDisplayed" r:id="rId5"/>
  <headerFooter alignWithMargins="0">
    <oddHeader>&amp;C&amp;"Times New Roman,Bold"Attachment CU4 - FASB Foundations
Financial Statement Template (FST)
&amp;A</oddHeader>
    <oddFooter>&amp;L&amp;F \ &amp;A&amp;RPage &amp;P</oddFooter>
  </headerFooter>
  <rowBreaks count="2" manualBreakCount="2">
    <brk id="149" max="9" man="1"/>
    <brk id="247" max="9" man="1"/>
  </rowBreaks>
  <ignoredErrors>
    <ignoredError sqref="H178:H197 G202:G221 H202:H221 H52" unlockedFormula="1"/>
  </ignoredErrors>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2"/>
  <sheetViews>
    <sheetView showGridLines="0" zoomScaleNormal="100" zoomScaleSheetLayoutView="90" workbookViewId="0">
      <selection activeCell="C3" sqref="C3:E3"/>
    </sheetView>
  </sheetViews>
  <sheetFormatPr defaultColWidth="9.140625" defaultRowHeight="12.75"/>
  <cols>
    <col min="1" max="1" width="10.85546875" style="27" customWidth="1"/>
    <col min="2" max="2" width="32" style="27" customWidth="1"/>
    <col min="3" max="3" width="8.7109375" style="27" customWidth="1"/>
    <col min="4" max="5" width="24.7109375" style="27" customWidth="1"/>
    <col min="6" max="6" width="24.7109375" style="68" customWidth="1"/>
    <col min="7" max="7" width="19.42578125" style="27" customWidth="1"/>
    <col min="8" max="8" width="3.7109375" style="27" customWidth="1"/>
    <col min="9" max="9" width="40.7109375" style="27" customWidth="1"/>
    <col min="10" max="10" width="9.140625" style="27"/>
    <col min="11" max="11" width="9.140625" style="27" customWidth="1"/>
    <col min="12" max="12" width="12.7109375" style="27" hidden="1" customWidth="1"/>
    <col min="13" max="13" width="2.7109375" style="27" bestFit="1" customWidth="1"/>
    <col min="14" max="16384" width="9.140625" style="27"/>
  </cols>
  <sheetData>
    <row r="1" spans="1:12" ht="12.75" customHeight="1">
      <c r="A1" s="645" t="s">
        <v>392</v>
      </c>
      <c r="B1" s="552"/>
      <c r="C1" s="614" t="str">
        <f>'Component Unit Template'!G1</f>
        <v/>
      </c>
      <c r="D1" s="615"/>
      <c r="E1" s="616"/>
    </row>
    <row r="2" spans="1:12" ht="12.75" customHeight="1">
      <c r="A2" s="617" t="s">
        <v>404</v>
      </c>
      <c r="B2" s="618"/>
      <c r="C2" s="614" t="str">
        <f>IF('Component Unit Template'!G2="","",'Component Unit Template'!G2)</f>
        <v/>
      </c>
      <c r="D2" s="619"/>
      <c r="E2" s="620"/>
    </row>
    <row r="3" spans="1:12">
      <c r="A3" s="617" t="s">
        <v>369</v>
      </c>
      <c r="B3" s="618"/>
      <c r="C3" s="621" t="str">
        <f>IF('Component Unit Template'!G3="","",'Component Unit Template'!G3)</f>
        <v/>
      </c>
      <c r="D3" s="622"/>
      <c r="E3" s="623"/>
      <c r="L3" s="27" t="s">
        <v>491</v>
      </c>
    </row>
    <row r="4" spans="1:12">
      <c r="A4" s="617" t="s">
        <v>255</v>
      </c>
      <c r="B4" s="618"/>
      <c r="C4" s="562" t="str">
        <f>IF('Component Unit Template'!G4="","",'Component Unit Template'!G4)</f>
        <v/>
      </c>
      <c r="D4" s="563"/>
      <c r="E4" s="564"/>
      <c r="L4" s="27" t="s">
        <v>403</v>
      </c>
    </row>
    <row r="5" spans="1:12">
      <c r="A5" s="617" t="s">
        <v>511</v>
      </c>
      <c r="B5" s="618"/>
      <c r="C5" s="624" t="str">
        <f>IF('Component Unit Template'!G5="","",'Component Unit Template'!G5)</f>
        <v/>
      </c>
      <c r="D5" s="625"/>
      <c r="E5" s="626"/>
      <c r="L5" s="27" t="s">
        <v>492</v>
      </c>
    </row>
    <row r="6" spans="1:12">
      <c r="A6" s="617" t="s">
        <v>35</v>
      </c>
      <c r="B6" s="618"/>
      <c r="C6" s="627" t="str">
        <f>IF('Component Unit Template'!G6="","",'Component Unit Template'!G6)</f>
        <v/>
      </c>
      <c r="D6" s="647"/>
      <c r="E6" s="648"/>
      <c r="L6" s="27" t="s">
        <v>187</v>
      </c>
    </row>
    <row r="8" spans="1:12">
      <c r="A8" s="26" t="s">
        <v>412</v>
      </c>
    </row>
    <row r="9" spans="1:12">
      <c r="A9" s="26" t="str">
        <f>'Component Unit Template'!A35</f>
        <v>For the Year Ended June 30, 2024</v>
      </c>
    </row>
    <row r="10" spans="1:12" ht="13.5" thickBot="1">
      <c r="A10" s="65"/>
      <c r="B10" s="65"/>
      <c r="C10" s="65"/>
      <c r="D10" s="65"/>
      <c r="E10" s="65"/>
      <c r="F10" s="392"/>
      <c r="G10" s="65"/>
    </row>
    <row r="12" spans="1:12" ht="49.5" customHeight="1">
      <c r="A12" s="646" t="s">
        <v>653</v>
      </c>
      <c r="B12" s="646"/>
      <c r="C12" s="646"/>
      <c r="D12" s="646"/>
      <c r="E12" s="646"/>
    </row>
    <row r="13" spans="1:12" ht="39" customHeight="1">
      <c r="A13" s="646" t="s">
        <v>844</v>
      </c>
      <c r="B13" s="646"/>
      <c r="C13" s="646"/>
      <c r="D13" s="646"/>
      <c r="E13" s="646"/>
    </row>
    <row r="15" spans="1:12" s="42" customFormat="1" ht="55.5" customHeight="1">
      <c r="A15" s="26" t="s">
        <v>654</v>
      </c>
      <c r="B15" s="26" t="s">
        <v>657</v>
      </c>
      <c r="C15" s="27"/>
      <c r="D15" s="238" t="s">
        <v>655</v>
      </c>
      <c r="E15" s="238" t="s">
        <v>656</v>
      </c>
      <c r="F15" s="365" t="s">
        <v>658</v>
      </c>
      <c r="G15" s="238" t="s">
        <v>648</v>
      </c>
      <c r="H15" s="238"/>
      <c r="I15" s="111" t="s">
        <v>659</v>
      </c>
    </row>
    <row r="16" spans="1:12">
      <c r="A16" s="27" t="s">
        <v>150</v>
      </c>
      <c r="B16" s="402" t="s">
        <v>419</v>
      </c>
      <c r="C16" s="403" t="s">
        <v>500</v>
      </c>
      <c r="D16" s="239"/>
      <c r="E16" s="239"/>
      <c r="F16" s="333">
        <f>D16+E16</f>
        <v>0</v>
      </c>
      <c r="G16" s="313" t="str">
        <f>IF(F16=0,"","Answer Required")</f>
        <v/>
      </c>
      <c r="H16" s="31"/>
      <c r="I16" s="29" t="str">
        <f>IF('Component Unit Template'!$G$2="","",'Component Unit Template'!$G$2)</f>
        <v/>
      </c>
    </row>
    <row r="17" spans="1:13">
      <c r="A17" s="27" t="s">
        <v>150</v>
      </c>
      <c r="B17" s="402" t="s">
        <v>591</v>
      </c>
      <c r="C17" s="120"/>
      <c r="D17" s="239"/>
      <c r="E17" s="239"/>
      <c r="F17" s="333">
        <f t="shared" ref="F17:F32" si="0">D17+E17</f>
        <v>0</v>
      </c>
      <c r="G17" s="313" t="str">
        <f t="shared" ref="G17:G32" si="1">IF(F17=0,"","Answer Required")</f>
        <v/>
      </c>
      <c r="H17" s="31"/>
      <c r="I17" s="29" t="str">
        <f>IF('Component Unit Template'!$G$2="","",'Component Unit Template'!$G$2)</f>
        <v/>
      </c>
    </row>
    <row r="18" spans="1:13">
      <c r="A18" s="27" t="s">
        <v>150</v>
      </c>
      <c r="B18" s="402" t="s">
        <v>420</v>
      </c>
      <c r="C18" s="120"/>
      <c r="D18" s="239"/>
      <c r="E18" s="239"/>
      <c r="F18" s="333">
        <f t="shared" si="0"/>
        <v>0</v>
      </c>
      <c r="G18" s="313" t="str">
        <f t="shared" si="1"/>
        <v/>
      </c>
      <c r="H18" s="31"/>
      <c r="I18" s="29" t="str">
        <f>IF('Component Unit Template'!$G$2="","",'Component Unit Template'!$G$2)</f>
        <v/>
      </c>
    </row>
    <row r="19" spans="1:13">
      <c r="A19" s="27" t="s">
        <v>150</v>
      </c>
      <c r="B19" s="402" t="s">
        <v>792</v>
      </c>
      <c r="C19" s="120"/>
      <c r="D19" s="239"/>
      <c r="E19" s="239"/>
      <c r="F19" s="333">
        <f t="shared" si="0"/>
        <v>0</v>
      </c>
      <c r="G19" s="313" t="str">
        <f t="shared" si="1"/>
        <v/>
      </c>
      <c r="H19" s="31"/>
      <c r="I19" s="29" t="str">
        <f>IF('Component Unit Template'!$G$2="","",'Component Unit Template'!$G$2)</f>
        <v/>
      </c>
    </row>
    <row r="20" spans="1:13">
      <c r="A20" s="27" t="s">
        <v>150</v>
      </c>
      <c r="B20" s="402" t="s">
        <v>421</v>
      </c>
      <c r="C20" s="120"/>
      <c r="D20" s="239"/>
      <c r="E20" s="239"/>
      <c r="F20" s="333">
        <f t="shared" si="0"/>
        <v>0</v>
      </c>
      <c r="G20" s="313" t="str">
        <f t="shared" si="1"/>
        <v/>
      </c>
      <c r="H20" s="31"/>
      <c r="I20" s="29" t="str">
        <f>IF('Component Unit Template'!$G$2="","",'Component Unit Template'!$G$2)</f>
        <v/>
      </c>
    </row>
    <row r="21" spans="1:13">
      <c r="A21" s="27" t="s">
        <v>150</v>
      </c>
      <c r="B21" s="402" t="s">
        <v>422</v>
      </c>
      <c r="C21" s="120"/>
      <c r="D21" s="239"/>
      <c r="E21" s="239"/>
      <c r="F21" s="333">
        <f t="shared" si="0"/>
        <v>0</v>
      </c>
      <c r="G21" s="313" t="str">
        <f t="shared" si="1"/>
        <v/>
      </c>
      <c r="H21" s="31"/>
      <c r="I21" s="29" t="str">
        <f>IF('Component Unit Template'!$G$2="","",'Component Unit Template'!$G$2)</f>
        <v/>
      </c>
    </row>
    <row r="22" spans="1:13">
      <c r="A22" s="27" t="s">
        <v>150</v>
      </c>
      <c r="B22" s="402" t="s">
        <v>423</v>
      </c>
      <c r="C22" s="120"/>
      <c r="D22" s="239"/>
      <c r="E22" s="239"/>
      <c r="F22" s="333">
        <f t="shared" si="0"/>
        <v>0</v>
      </c>
      <c r="G22" s="313" t="str">
        <f t="shared" si="1"/>
        <v/>
      </c>
      <c r="H22" s="31"/>
      <c r="I22" s="29" t="str">
        <f>IF('Component Unit Template'!$G$2="","",'Component Unit Template'!$G$2)</f>
        <v/>
      </c>
    </row>
    <row r="23" spans="1:13">
      <c r="A23" s="27" t="s">
        <v>150</v>
      </c>
      <c r="B23" s="402" t="s">
        <v>790</v>
      </c>
      <c r="C23" s="120"/>
      <c r="D23" s="239"/>
      <c r="E23" s="239"/>
      <c r="F23" s="333">
        <f t="shared" si="0"/>
        <v>0</v>
      </c>
      <c r="G23" s="313" t="str">
        <f t="shared" si="1"/>
        <v/>
      </c>
      <c r="H23" s="31"/>
      <c r="I23" s="29" t="str">
        <f>IF('Component Unit Template'!$G$2="","",'Component Unit Template'!$G$2)</f>
        <v/>
      </c>
    </row>
    <row r="24" spans="1:13">
      <c r="A24" s="27" t="s">
        <v>150</v>
      </c>
      <c r="B24" s="402" t="s">
        <v>791</v>
      </c>
      <c r="C24" s="120"/>
      <c r="D24" s="239"/>
      <c r="E24" s="239"/>
      <c r="F24" s="333">
        <f t="shared" si="0"/>
        <v>0</v>
      </c>
      <c r="G24" s="313" t="str">
        <f t="shared" si="1"/>
        <v/>
      </c>
      <c r="H24" s="31"/>
      <c r="I24" s="29" t="str">
        <f>IF('Component Unit Template'!$G$2="","",'Component Unit Template'!$G$2)</f>
        <v/>
      </c>
    </row>
    <row r="25" spans="1:13">
      <c r="A25" s="27" t="s">
        <v>150</v>
      </c>
      <c r="B25" s="402" t="s">
        <v>578</v>
      </c>
      <c r="C25" s="120"/>
      <c r="D25" s="239"/>
      <c r="E25" s="239"/>
      <c r="F25" s="333">
        <f t="shared" si="0"/>
        <v>0</v>
      </c>
      <c r="G25" s="313" t="str">
        <f t="shared" si="1"/>
        <v/>
      </c>
      <c r="H25" s="31"/>
      <c r="I25" s="29" t="str">
        <f>IF('Component Unit Template'!$G$2="","",'Component Unit Template'!$G$2)</f>
        <v/>
      </c>
      <c r="M25" s="68"/>
    </row>
    <row r="26" spans="1:13">
      <c r="A26" s="27" t="s">
        <v>150</v>
      </c>
      <c r="B26" s="402" t="s">
        <v>875</v>
      </c>
      <c r="C26" s="120"/>
      <c r="D26" s="239"/>
      <c r="E26" s="239"/>
      <c r="F26" s="333">
        <f t="shared" ref="F26" si="2">D26+E26</f>
        <v>0</v>
      </c>
      <c r="G26" s="313" t="str">
        <f t="shared" ref="G26" si="3">IF(F26=0,"","Answer Required")</f>
        <v/>
      </c>
      <c r="H26" s="31"/>
      <c r="I26" s="29" t="str">
        <f>IF('Component Unit Template'!$G$2="","",'Component Unit Template'!$G$2)</f>
        <v/>
      </c>
      <c r="M26" s="68"/>
    </row>
    <row r="27" spans="1:13">
      <c r="A27" s="27" t="s">
        <v>151</v>
      </c>
      <c r="B27" s="402" t="s">
        <v>424</v>
      </c>
      <c r="C27" s="120"/>
      <c r="D27" s="239"/>
      <c r="E27" s="239"/>
      <c r="F27" s="333">
        <f t="shared" si="0"/>
        <v>0</v>
      </c>
      <c r="G27" s="313" t="str">
        <f t="shared" si="1"/>
        <v/>
      </c>
      <c r="H27" s="31"/>
      <c r="I27" s="29" t="str">
        <f>IF('Component Unit Template'!$G$2="","",'Component Unit Template'!$G$2)</f>
        <v/>
      </c>
    </row>
    <row r="28" spans="1:13">
      <c r="A28" s="27" t="s">
        <v>151</v>
      </c>
      <c r="B28" s="402" t="s">
        <v>425</v>
      </c>
      <c r="C28" s="120"/>
      <c r="D28" s="239"/>
      <c r="E28" s="239"/>
      <c r="F28" s="333">
        <f t="shared" si="0"/>
        <v>0</v>
      </c>
      <c r="G28" s="313" t="str">
        <f t="shared" si="1"/>
        <v/>
      </c>
      <c r="H28" s="31"/>
      <c r="I28" s="29" t="str">
        <f>IF('Component Unit Template'!$G$2="","",'Component Unit Template'!$G$2)</f>
        <v/>
      </c>
    </row>
    <row r="29" spans="1:13">
      <c r="A29" s="27" t="s">
        <v>151</v>
      </c>
      <c r="B29" s="402" t="s">
        <v>426</v>
      </c>
      <c r="C29" s="120"/>
      <c r="D29" s="239"/>
      <c r="E29" s="239"/>
      <c r="F29" s="333">
        <f t="shared" si="0"/>
        <v>0</v>
      </c>
      <c r="G29" s="313" t="str">
        <f t="shared" si="1"/>
        <v/>
      </c>
      <c r="H29" s="31"/>
      <c r="I29" s="29" t="str">
        <f>IF('Component Unit Template'!$G$2="","",'Component Unit Template'!$G$2)</f>
        <v/>
      </c>
    </row>
    <row r="30" spans="1:13" s="330" customFormat="1">
      <c r="A30" s="27" t="s">
        <v>151</v>
      </c>
      <c r="B30" s="330" t="s">
        <v>611</v>
      </c>
      <c r="C30" s="404"/>
      <c r="D30" s="239"/>
      <c r="E30" s="239"/>
      <c r="F30" s="333">
        <f t="shared" si="0"/>
        <v>0</v>
      </c>
      <c r="G30" s="313" t="str">
        <f t="shared" si="1"/>
        <v/>
      </c>
      <c r="H30" s="31"/>
      <c r="I30" s="29" t="str">
        <f>IF('Component Unit Template'!$G$2="","",'Component Unit Template'!$G$2)</f>
        <v/>
      </c>
    </row>
    <row r="31" spans="1:13" s="330" customFormat="1">
      <c r="A31" s="27" t="s">
        <v>151</v>
      </c>
      <c r="B31" s="330" t="s">
        <v>612</v>
      </c>
      <c r="C31" s="404"/>
      <c r="D31" s="239"/>
      <c r="E31" s="239"/>
      <c r="F31" s="333">
        <f t="shared" si="0"/>
        <v>0</v>
      </c>
      <c r="G31" s="313" t="str">
        <f t="shared" si="1"/>
        <v/>
      </c>
      <c r="H31" s="31"/>
      <c r="I31" s="29" t="str">
        <f>IF('Component Unit Template'!$G$2="","",'Component Unit Template'!$G$2)</f>
        <v/>
      </c>
    </row>
    <row r="32" spans="1:13" s="330" customFormat="1">
      <c r="A32" s="27" t="s">
        <v>151</v>
      </c>
      <c r="B32" s="330" t="s">
        <v>613</v>
      </c>
      <c r="C32" s="404"/>
      <c r="D32" s="239"/>
      <c r="E32" s="239"/>
      <c r="F32" s="333">
        <f t="shared" si="0"/>
        <v>0</v>
      </c>
      <c r="G32" s="313" t="str">
        <f t="shared" si="1"/>
        <v/>
      </c>
      <c r="H32" s="31"/>
      <c r="I32" s="29" t="str">
        <f>IF('Component Unit Template'!$G$2="","",'Component Unit Template'!$G$2)</f>
        <v/>
      </c>
    </row>
    <row r="33" spans="1:9" s="330" customFormat="1">
      <c r="A33" s="27" t="s">
        <v>151</v>
      </c>
      <c r="B33" s="330" t="s">
        <v>873</v>
      </c>
      <c r="C33" s="404"/>
      <c r="D33" s="239"/>
      <c r="E33" s="239"/>
      <c r="F33" s="333">
        <f t="shared" ref="F33" si="4">D33+E33</f>
        <v>0</v>
      </c>
      <c r="G33" s="313" t="str">
        <f t="shared" ref="G33" si="5">IF(F33=0,"","Answer Required")</f>
        <v/>
      </c>
      <c r="H33" s="31"/>
      <c r="I33" s="29" t="str">
        <f>IF('Component Unit Template'!$G$2="","",'Component Unit Template'!$G$2)</f>
        <v/>
      </c>
    </row>
    <row r="34" spans="1:9" s="330" customFormat="1">
      <c r="A34" s="27" t="s">
        <v>151</v>
      </c>
      <c r="B34" s="330" t="s">
        <v>874</v>
      </c>
      <c r="C34" s="404"/>
      <c r="D34" s="239"/>
      <c r="E34" s="239"/>
      <c r="F34" s="333">
        <f t="shared" ref="F34" si="6">D34+E34</f>
        <v>0</v>
      </c>
      <c r="G34" s="313" t="str">
        <f t="shared" ref="G34" si="7">IF(F34=0,"","Answer Required")</f>
        <v/>
      </c>
      <c r="H34" s="31"/>
      <c r="I34" s="29" t="str">
        <f>IF('Component Unit Template'!$G$2="","",'Component Unit Template'!$G$2)</f>
        <v/>
      </c>
    </row>
    <row r="35" spans="1:9" s="330" customFormat="1">
      <c r="B35" s="330" t="s">
        <v>646</v>
      </c>
      <c r="C35" s="404"/>
      <c r="D35" s="404"/>
      <c r="E35" s="404"/>
      <c r="F35" s="334"/>
      <c r="G35" s="68"/>
      <c r="H35" s="68"/>
      <c r="I35" s="29"/>
    </row>
    <row r="36" spans="1:9" s="330" customFormat="1">
      <c r="A36" s="367"/>
      <c r="B36" s="366" t="str">
        <f>IF(OR(D36&lt;&gt;"",E36&lt;&gt;""),"Answer Required","")</f>
        <v/>
      </c>
      <c r="D36" s="239"/>
      <c r="E36" s="239"/>
      <c r="F36" s="333">
        <f t="shared" ref="F36:F45" si="8">D36+E36</f>
        <v>0</v>
      </c>
      <c r="G36" s="313" t="str">
        <f t="shared" ref="G36:G45" si="9">IF(F36=0,"","Answer Required")</f>
        <v/>
      </c>
      <c r="H36" s="31"/>
      <c r="I36" s="29" t="str">
        <f>IF('Component Unit Template'!$G$2="","",'Component Unit Template'!$G$2)</f>
        <v/>
      </c>
    </row>
    <row r="37" spans="1:9" s="330" customFormat="1">
      <c r="A37" s="368"/>
      <c r="B37" s="366" t="str">
        <f t="shared" ref="B37:B45" si="10">IF(OR(D37&lt;&gt;"",E37&lt;&gt;""),"Answer Required","")</f>
        <v/>
      </c>
      <c r="D37" s="239"/>
      <c r="E37" s="239"/>
      <c r="F37" s="333">
        <f t="shared" si="8"/>
        <v>0</v>
      </c>
      <c r="G37" s="313" t="str">
        <f t="shared" si="9"/>
        <v/>
      </c>
      <c r="H37" s="31"/>
      <c r="I37" s="29" t="str">
        <f>IF('Component Unit Template'!$G$2="","",'Component Unit Template'!$G$2)</f>
        <v/>
      </c>
    </row>
    <row r="38" spans="1:9" s="330" customFormat="1">
      <c r="A38" s="368"/>
      <c r="B38" s="366" t="str">
        <f t="shared" si="10"/>
        <v/>
      </c>
      <c r="C38" s="364"/>
      <c r="D38" s="239"/>
      <c r="E38" s="239"/>
      <c r="F38" s="333">
        <f t="shared" si="8"/>
        <v>0</v>
      </c>
      <c r="G38" s="313" t="str">
        <f t="shared" si="9"/>
        <v/>
      </c>
      <c r="H38" s="31"/>
      <c r="I38" s="29" t="str">
        <f>IF('Component Unit Template'!$G$2="","",'Component Unit Template'!$G$2)</f>
        <v/>
      </c>
    </row>
    <row r="39" spans="1:9" s="330" customFormat="1">
      <c r="A39" s="368"/>
      <c r="B39" s="366" t="str">
        <f t="shared" si="10"/>
        <v/>
      </c>
      <c r="C39" s="364"/>
      <c r="D39" s="239"/>
      <c r="E39" s="239"/>
      <c r="F39" s="333">
        <f t="shared" si="8"/>
        <v>0</v>
      </c>
      <c r="G39" s="313" t="str">
        <f t="shared" si="9"/>
        <v/>
      </c>
      <c r="H39" s="31"/>
      <c r="I39" s="29" t="str">
        <f>IF('Component Unit Template'!$G$2="","",'Component Unit Template'!$G$2)</f>
        <v/>
      </c>
    </row>
    <row r="40" spans="1:9" s="330" customFormat="1">
      <c r="A40" s="368"/>
      <c r="B40" s="366" t="str">
        <f t="shared" si="10"/>
        <v/>
      </c>
      <c r="C40" s="364"/>
      <c r="D40" s="239"/>
      <c r="E40" s="239"/>
      <c r="F40" s="333">
        <f t="shared" si="8"/>
        <v>0</v>
      </c>
      <c r="G40" s="313" t="str">
        <f t="shared" si="9"/>
        <v/>
      </c>
      <c r="H40" s="31"/>
      <c r="I40" s="29" t="str">
        <f>IF('Component Unit Template'!$G$2="","",'Component Unit Template'!$G$2)</f>
        <v/>
      </c>
    </row>
    <row r="41" spans="1:9" s="330" customFormat="1">
      <c r="A41" s="368"/>
      <c r="B41" s="366" t="str">
        <f t="shared" si="10"/>
        <v/>
      </c>
      <c r="C41" s="364"/>
      <c r="D41" s="239"/>
      <c r="E41" s="239"/>
      <c r="F41" s="333">
        <f t="shared" si="8"/>
        <v>0</v>
      </c>
      <c r="G41" s="313" t="str">
        <f t="shared" si="9"/>
        <v/>
      </c>
      <c r="H41" s="31"/>
      <c r="I41" s="29" t="str">
        <f>IF('Component Unit Template'!$G$2="","",'Component Unit Template'!$G$2)</f>
        <v/>
      </c>
    </row>
    <row r="42" spans="1:9" s="330" customFormat="1">
      <c r="A42" s="368"/>
      <c r="B42" s="366" t="str">
        <f t="shared" si="10"/>
        <v/>
      </c>
      <c r="C42" s="364"/>
      <c r="D42" s="239"/>
      <c r="E42" s="239"/>
      <c r="F42" s="333">
        <f t="shared" si="8"/>
        <v>0</v>
      </c>
      <c r="G42" s="313" t="str">
        <f t="shared" si="9"/>
        <v/>
      </c>
      <c r="H42" s="31"/>
      <c r="I42" s="29" t="str">
        <f>IF('Component Unit Template'!$G$2="","",'Component Unit Template'!$G$2)</f>
        <v/>
      </c>
    </row>
    <row r="43" spans="1:9" s="330" customFormat="1">
      <c r="A43" s="368"/>
      <c r="B43" s="366" t="str">
        <f t="shared" si="10"/>
        <v/>
      </c>
      <c r="C43" s="364"/>
      <c r="D43" s="239"/>
      <c r="E43" s="239"/>
      <c r="F43" s="333">
        <f t="shared" si="8"/>
        <v>0</v>
      </c>
      <c r="G43" s="313" t="str">
        <f t="shared" si="9"/>
        <v/>
      </c>
      <c r="H43" s="31"/>
      <c r="I43" s="29" t="str">
        <f>IF('Component Unit Template'!$G$2="","",'Component Unit Template'!$G$2)</f>
        <v/>
      </c>
    </row>
    <row r="44" spans="1:9" s="330" customFormat="1">
      <c r="A44" s="368"/>
      <c r="B44" s="366" t="str">
        <f t="shared" si="10"/>
        <v/>
      </c>
      <c r="C44" s="364"/>
      <c r="D44" s="239"/>
      <c r="E44" s="239"/>
      <c r="F44" s="333">
        <f t="shared" si="8"/>
        <v>0</v>
      </c>
      <c r="G44" s="313" t="str">
        <f t="shared" si="9"/>
        <v/>
      </c>
      <c r="H44" s="31"/>
      <c r="I44" s="29" t="str">
        <f>IF('Component Unit Template'!$G$2="","",'Component Unit Template'!$G$2)</f>
        <v/>
      </c>
    </row>
    <row r="45" spans="1:9" s="330" customFormat="1">
      <c r="A45" s="368"/>
      <c r="B45" s="366" t="str">
        <f t="shared" si="10"/>
        <v/>
      </c>
      <c r="C45" s="364"/>
      <c r="D45" s="239"/>
      <c r="E45" s="239"/>
      <c r="F45" s="333">
        <f t="shared" si="8"/>
        <v>0</v>
      </c>
      <c r="G45" s="313" t="str">
        <f t="shared" si="9"/>
        <v/>
      </c>
      <c r="H45" s="31"/>
      <c r="I45" s="29" t="str">
        <f>IF('Component Unit Template'!$G$2="","",'Component Unit Template'!$G$2)</f>
        <v/>
      </c>
    </row>
    <row r="46" spans="1:9" s="330" customFormat="1">
      <c r="C46" s="404"/>
      <c r="D46" s="404"/>
      <c r="E46" s="404"/>
      <c r="F46" s="405"/>
      <c r="G46" s="68"/>
      <c r="H46" s="68"/>
      <c r="I46" s="27"/>
    </row>
    <row r="47" spans="1:9" ht="13.5" thickBot="1">
      <c r="B47" s="27" t="s">
        <v>431</v>
      </c>
      <c r="C47" s="27" t="s">
        <v>500</v>
      </c>
      <c r="D47" s="406">
        <f>IF(SUM(D16:D45)='Tab 1A - Detail Fdn'!H106, SUM(D16:D45),"ERROR")</f>
        <v>0</v>
      </c>
      <c r="E47" s="406">
        <f>IF(SUM(E16:E45)='Tab 1A - Detail Fdn'!H112, SUM(E16:E45),"ERROR")</f>
        <v>0</v>
      </c>
      <c r="F47" s="406">
        <f>IF(SUM(F16:F45)='Tab 1A - Detail Fdn'!H113, SUM(F16:F45),"ERROR")</f>
        <v>0</v>
      </c>
    </row>
    <row r="48" spans="1:9" ht="13.5" thickTop="1">
      <c r="D48" s="31" t="s">
        <v>400</v>
      </c>
      <c r="E48" s="31" t="s">
        <v>400</v>
      </c>
      <c r="F48" s="407" t="s">
        <v>400</v>
      </c>
    </row>
    <row r="49" spans="1:7">
      <c r="B49" s="408" t="s">
        <v>609</v>
      </c>
      <c r="D49" s="409">
        <f>SUM(D16:D45)-'Tab 1A - Detail Fdn'!H106</f>
        <v>0</v>
      </c>
      <c r="E49" s="409">
        <f>SUM(E16:E45)-'Tab 1A - Detail Fdn'!H112</f>
        <v>0</v>
      </c>
      <c r="F49" s="409">
        <f>SUM(F16:F45)-'Tab 1A - Detail Fdn'!H113</f>
        <v>0</v>
      </c>
    </row>
    <row r="52" spans="1:7" ht="31.5" customHeight="1">
      <c r="A52" s="644" t="s">
        <v>845</v>
      </c>
      <c r="B52" s="644"/>
      <c r="C52" s="644"/>
      <c r="D52" s="644"/>
      <c r="E52" s="644"/>
      <c r="F52" s="644"/>
      <c r="G52" s="644"/>
    </row>
  </sheetData>
  <sheetProtection algorithmName="SHA-512" hashValue="5Vno1zOXKIqANNJWSFbtu7bGdWUoVab/16WdxdnfyoC7lKmAVJb2Pf4vQKKXa0/qbmypCSx0M63VeRccQN4S/g==" saltValue="93drmHkFehIyibf8Obx0ow==" spinCount="100000" sheet="1" objects="1" scenarios="1"/>
  <customSheetViews>
    <customSheetView guid="{21549FED-0843-409C-B56D-2EB16B98EF5E}" showGridLines="0" fitToPage="1" hiddenColumns="1">
      <selection activeCell="C3" sqref="C3:E3"/>
      <rowBreaks count="2" manualBreakCount="2">
        <brk id="21" max="16383" man="1"/>
        <brk id="26" max="7" man="1"/>
      </rowBreaks>
      <pageMargins left="0.3" right="0.32" top="1" bottom="1" header="0.31" footer="0.5"/>
      <pageSetup scale="56" orientation="landscape" cellComments="asDisplayed" r:id="rId1"/>
      <headerFooter alignWithMargins="0">
        <oddHeader>&amp;C&amp;"Times New Roman,Bold"Attachment CU4 - FASB Foundations
Financial Statement Template (FST)
&amp;A</oddHeader>
        <oddFooter>&amp;L&amp;F \ &amp;A&amp;R Page &amp;P</oddFooter>
      </headerFooter>
    </customSheetView>
    <customSheetView guid="{83B11BDE-9087-4120-8F71-87939A6C277C}" scale="75" showPageBreaks="1" showGridLines="0" fitToPage="1" printArea="1" hiddenRows="1" hiddenColumns="1" view="pageBreakPreview">
      <selection activeCell="G101" sqref="G101"/>
      <rowBreaks count="3" manualBreakCount="3">
        <brk id="8" max="17" man="1"/>
        <brk id="13" max="16383" man="1"/>
        <brk id="23" max="17" man="1"/>
      </rowBreaks>
      <pageMargins left="0.3" right="0.32" top="1" bottom="1" header="0.5" footer="0.5"/>
      <pageSetup paperSize="5" scale="46" orientation="landscape" cellComments="asDisplayed" r:id="rId2"/>
      <headerFooter alignWithMargins="0">
        <oddHeader>&amp;C&amp;"Times New Roman,Bold"Attachment CU4 - FASB Foundations
Financial Statement Template (FST)
&amp;A</oddHeader>
        <oddFooter>&amp;L&amp;F \ &amp;A&amp;R Page &amp;P</oddFooter>
      </headerFooter>
    </customSheetView>
    <customSheetView guid="{5A69DEB5-9E8B-40C6-849E-49B804F6ED86}" scale="75" showPageBreaks="1" showGridLines="0" fitToPage="1" printArea="1" hiddenRows="1" hiddenColumns="1" view="pageBreakPreview">
      <selection activeCell="G101" sqref="G101"/>
      <rowBreaks count="3" manualBreakCount="3">
        <brk id="8" max="17" man="1"/>
        <brk id="13" max="16383" man="1"/>
        <brk id="23" max="17" man="1"/>
      </rowBreaks>
      <pageMargins left="0.3" right="0.32" top="1" bottom="1" header="0.5" footer="0.5"/>
      <pageSetup paperSize="5" scale="46" orientation="landscape" cellComments="asDisplayed" r:id="rId3"/>
      <headerFooter alignWithMargins="0">
        <oddHeader>&amp;C&amp;"Times New Roman,Bold"Attachment CU4 - FASB Foundations
Financial Statement Template (FST)
&amp;A</oddHeader>
        <oddFooter>&amp;L&amp;F \ &amp;A&amp;R Page &amp;P</oddFooter>
      </headerFooter>
    </customSheetView>
    <customSheetView guid="{C3905544-E3E5-4318-8AA2-F7DE16A9B8E7}" scale="75" showPageBreaks="1" showGridLines="0" fitToPage="1" printArea="1" hiddenRows="1" hiddenColumns="1" view="pageBreakPreview">
      <selection activeCell="G101" sqref="G101"/>
      <rowBreaks count="3" manualBreakCount="3">
        <brk id="8" max="17" man="1"/>
        <brk id="13" max="16383" man="1"/>
        <brk id="23" max="17" man="1"/>
      </rowBreaks>
      <pageMargins left="0.3" right="0.32" top="1" bottom="1" header="0.5" footer="0.5"/>
      <pageSetup paperSize="5" scale="48" orientation="landscape" cellComments="asDisplayed" r:id="rId4"/>
      <headerFooter alignWithMargins="0">
        <oddHeader>&amp;C&amp;"Times New Roman,Bold"Attachment CU4 - FASB Foundations
Financial Statement Template (FST)
&amp;A</oddHeader>
        <oddFooter>&amp;L&amp;F \ &amp;A&amp;R Page &amp;P</oddFooter>
      </headerFooter>
    </customSheetView>
  </customSheetViews>
  <mergeCells count="15">
    <mergeCell ref="A52:G52"/>
    <mergeCell ref="A1:B1"/>
    <mergeCell ref="C1:E1"/>
    <mergeCell ref="A2:B2"/>
    <mergeCell ref="C2:E2"/>
    <mergeCell ref="A3:B3"/>
    <mergeCell ref="C3:E3"/>
    <mergeCell ref="A12:E12"/>
    <mergeCell ref="A13:E13"/>
    <mergeCell ref="A4:B4"/>
    <mergeCell ref="C4:E4"/>
    <mergeCell ref="A5:B5"/>
    <mergeCell ref="C5:E5"/>
    <mergeCell ref="A6:B6"/>
    <mergeCell ref="C6:E6"/>
  </mergeCells>
  <conditionalFormatting sqref="B36:B45">
    <cfRule type="cellIs" dxfId="32" priority="1" operator="equal">
      <formula>"Answer Required"</formula>
    </cfRule>
  </conditionalFormatting>
  <conditionalFormatting sqref="G16:H34">
    <cfRule type="containsText" dxfId="31" priority="2" operator="containsText" text="Answer Required">
      <formula>NOT(ISERROR(SEARCH("Answer Required",G16)))</formula>
    </cfRule>
  </conditionalFormatting>
  <conditionalFormatting sqref="G36:H45">
    <cfRule type="containsText" dxfId="30" priority="5" operator="containsText" text="Answer Required">
      <formula>NOT(ISERROR(SEARCH("Answer Required",G36)))</formula>
    </cfRule>
  </conditionalFormatting>
  <dataValidations count="2">
    <dataValidation type="whole" allowBlank="1" showErrorMessage="1" error="Please enter a whole number." sqref="D36:E45 D16:E34" xr:uid="{00000000-0002-0000-0400-000000000000}">
      <formula1>-9999999999999</formula1>
      <formula2>9999999999999</formula2>
    </dataValidation>
    <dataValidation type="list" allowBlank="1" showInputMessage="1" showErrorMessage="1" error="Use the drop-down list to enter Yes or No." sqref="G36:G45 G16:G34" xr:uid="{00000000-0002-0000-0400-000001000000}">
      <formula1>$L$4:$L$5</formula1>
    </dataValidation>
  </dataValidations>
  <pageMargins left="0.8" right="7.0000000000000007E-2" top="1" bottom="1" header="0.31" footer="0.5"/>
  <pageSetup scale="51" orientation="portrait" cellComments="asDisplayed" r:id="rId5"/>
  <headerFooter alignWithMargins="0">
    <oddHeader>&amp;C&amp;"Times New Roman,Bold"Attachment CU4 - FASB Foundations
Financial Statement Template (FST)
&amp;A</oddHeader>
    <oddFooter>&amp;L&amp;F \ &amp;A&amp;RPage &amp;P</oddFooter>
  </headerFooter>
  <rowBreaks count="2" manualBreakCount="2">
    <brk id="21" max="16383" man="1"/>
    <brk id="27" max="8" man="1"/>
  </rowBreaks>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89"/>
  <sheetViews>
    <sheetView showGridLines="0" zoomScaleNormal="100" zoomScaleSheetLayoutView="110" workbookViewId="0">
      <selection activeCell="B3" sqref="B3:E3"/>
    </sheetView>
  </sheetViews>
  <sheetFormatPr defaultColWidth="8.85546875" defaultRowHeight="11.25"/>
  <cols>
    <col min="1" max="1" width="43.85546875" style="1" customWidth="1"/>
    <col min="2" max="2" width="12.140625" style="1" customWidth="1"/>
    <col min="3" max="3" width="1.85546875" style="1" customWidth="1"/>
    <col min="4" max="4" width="16.28515625" style="1" customWidth="1"/>
    <col min="5" max="5" width="16" style="1" customWidth="1"/>
    <col min="6" max="6" width="12.42578125" style="1" customWidth="1"/>
    <col min="7" max="7" width="17.140625" style="1" customWidth="1"/>
    <col min="8" max="8" width="17.42578125" style="1" customWidth="1"/>
    <col min="9" max="9" width="5.42578125" style="1" customWidth="1"/>
    <col min="10" max="12" width="8.85546875" style="1"/>
    <col min="13" max="13" width="25.28515625" style="1" customWidth="1"/>
    <col min="14" max="14" width="28.7109375" style="1" customWidth="1"/>
    <col min="15" max="16384" width="8.85546875" style="1"/>
  </cols>
  <sheetData>
    <row r="1" spans="1:8" ht="12.75">
      <c r="A1" s="12" t="s">
        <v>392</v>
      </c>
      <c r="B1" s="650" t="str">
        <f>'Component Unit Template'!G1</f>
        <v/>
      </c>
      <c r="C1" s="651"/>
      <c r="D1" s="651"/>
      <c r="E1" s="652"/>
    </row>
    <row r="2" spans="1:8" ht="15.75" customHeight="1">
      <c r="A2" s="12" t="s">
        <v>404</v>
      </c>
      <c r="B2" s="650" t="str">
        <f>IF('Component Unit Template'!G2="","",'Component Unit Template'!G2)</f>
        <v/>
      </c>
      <c r="C2" s="651"/>
      <c r="D2" s="651"/>
      <c r="E2" s="652"/>
      <c r="F2" s="138"/>
    </row>
    <row r="3" spans="1:8" ht="12.75">
      <c r="A3" s="12" t="s">
        <v>438</v>
      </c>
      <c r="B3" s="653" t="str">
        <f>IF('Component Unit Template'!G3="","",'Component Unit Template'!G3)</f>
        <v/>
      </c>
      <c r="C3" s="654"/>
      <c r="D3" s="654"/>
      <c r="E3" s="655"/>
      <c r="F3" s="138"/>
    </row>
    <row r="4" spans="1:8" ht="12.75">
      <c r="A4" s="12" t="s">
        <v>255</v>
      </c>
      <c r="B4" s="656" t="str">
        <f>IF('Component Unit Template'!G4="","",'Component Unit Template'!G4)</f>
        <v/>
      </c>
      <c r="C4" s="657"/>
      <c r="D4" s="657"/>
      <c r="E4" s="658"/>
      <c r="F4" s="138"/>
    </row>
    <row r="5" spans="1:8" ht="12.75">
      <c r="A5" s="12" t="s">
        <v>511</v>
      </c>
      <c r="B5" s="659" t="str">
        <f>IF('Component Unit Template'!G5="","",'Component Unit Template'!G5)</f>
        <v/>
      </c>
      <c r="C5" s="660"/>
      <c r="D5" s="660"/>
      <c r="E5" s="661"/>
      <c r="F5" s="138"/>
    </row>
    <row r="6" spans="1:8" ht="12.75">
      <c r="A6" s="12" t="s">
        <v>35</v>
      </c>
      <c r="B6" s="662" t="str">
        <f>IF('Component Unit Template'!G6="","",'Component Unit Template'!G6)</f>
        <v/>
      </c>
      <c r="C6" s="663"/>
      <c r="D6" s="663"/>
      <c r="E6" s="664"/>
      <c r="F6" s="138"/>
    </row>
    <row r="7" spans="1:8">
      <c r="B7" s="9"/>
      <c r="C7" s="138"/>
      <c r="D7" s="138"/>
      <c r="E7" s="138"/>
      <c r="F7" s="138"/>
    </row>
    <row r="8" spans="1:8">
      <c r="A8" s="12" t="s">
        <v>924</v>
      </c>
      <c r="B8" s="9"/>
      <c r="C8" s="138"/>
      <c r="D8" s="138"/>
      <c r="E8" s="138"/>
      <c r="F8" s="138"/>
    </row>
    <row r="9" spans="1:8" hidden="1">
      <c r="B9" s="9"/>
      <c r="C9" s="138"/>
      <c r="D9" s="138"/>
      <c r="E9" s="138"/>
      <c r="F9" s="138"/>
    </row>
    <row r="10" spans="1:8" hidden="1">
      <c r="B10" s="9"/>
      <c r="C10" s="138"/>
      <c r="D10" s="138"/>
      <c r="E10" s="138"/>
      <c r="F10" s="138"/>
    </row>
    <row r="11" spans="1:8">
      <c r="A11" s="12" t="str">
        <f>'Component Unit Template'!A35</f>
        <v>For the Year Ended June 30, 2024</v>
      </c>
      <c r="B11" s="9"/>
      <c r="C11" s="138"/>
      <c r="D11" s="138"/>
      <c r="E11" s="138"/>
      <c r="F11" s="138"/>
    </row>
    <row r="12" spans="1:8">
      <c r="B12" s="9"/>
      <c r="C12" s="138"/>
      <c r="D12" s="138"/>
      <c r="E12" s="138"/>
      <c r="F12" s="138"/>
    </row>
    <row r="13" spans="1:8">
      <c r="A13" s="139"/>
      <c r="B13" s="139"/>
      <c r="C13" s="139"/>
      <c r="D13" s="139"/>
      <c r="E13" s="139"/>
      <c r="F13" s="139"/>
      <c r="G13" s="139"/>
      <c r="H13" s="139"/>
    </row>
    <row r="15" spans="1:8">
      <c r="A15" s="12" t="s">
        <v>236</v>
      </c>
    </row>
    <row r="16" spans="1:8" hidden="1"/>
    <row r="17" spans="1:7" hidden="1"/>
    <row r="18" spans="1:7" ht="45">
      <c r="D18" s="530" t="s">
        <v>933</v>
      </c>
      <c r="E18" s="530" t="s">
        <v>934</v>
      </c>
    </row>
    <row r="19" spans="1:7" ht="1.5" customHeight="1"/>
    <row r="20" spans="1:7">
      <c r="A20" s="12" t="s">
        <v>124</v>
      </c>
    </row>
    <row r="21" spans="1:7">
      <c r="A21" s="1" t="s">
        <v>204</v>
      </c>
      <c r="D21" s="15"/>
      <c r="E21" s="15"/>
    </row>
    <row r="22" spans="1:7">
      <c r="A22" s="1" t="s">
        <v>691</v>
      </c>
      <c r="D22" s="15"/>
      <c r="E22" s="15"/>
    </row>
    <row r="23" spans="1:7">
      <c r="A23" s="1" t="s">
        <v>125</v>
      </c>
      <c r="D23" s="15"/>
      <c r="E23" s="15"/>
    </row>
    <row r="24" spans="1:7">
      <c r="A24" s="1" t="s">
        <v>525</v>
      </c>
      <c r="D24" s="47"/>
      <c r="E24" s="47"/>
    </row>
    <row r="25" spans="1:7" ht="12" thickBot="1">
      <c r="A25" s="1" t="s">
        <v>126</v>
      </c>
      <c r="D25" s="16"/>
      <c r="E25" s="16"/>
      <c r="G25" s="531" t="str">
        <f>'Component Unit Template'!G62:I62</f>
        <v>N/A</v>
      </c>
    </row>
    <row r="26" spans="1:7">
      <c r="A26" s="1" t="s">
        <v>128</v>
      </c>
      <c r="D26" s="141">
        <f>SUM(D21:D25)</f>
        <v>0</v>
      </c>
      <c r="E26" s="141">
        <f>SUM(E21:E25)</f>
        <v>0</v>
      </c>
    </row>
    <row r="29" spans="1:7" ht="22.5">
      <c r="A29" s="142" t="s">
        <v>935</v>
      </c>
      <c r="D29" s="382"/>
      <c r="E29" s="382"/>
    </row>
    <row r="30" spans="1:7" hidden="1">
      <c r="A30" s="143" t="s">
        <v>204</v>
      </c>
      <c r="D30" s="424"/>
      <c r="E30" s="424"/>
    </row>
    <row r="31" spans="1:7" hidden="1">
      <c r="A31" s="1" t="s">
        <v>202</v>
      </c>
      <c r="D31" s="424"/>
      <c r="E31" s="424"/>
    </row>
    <row r="32" spans="1:7" hidden="1">
      <c r="A32" s="143" t="s">
        <v>125</v>
      </c>
      <c r="D32" s="424"/>
      <c r="E32" s="424"/>
    </row>
    <row r="33" spans="1:7" hidden="1">
      <c r="A33" s="1" t="s">
        <v>525</v>
      </c>
      <c r="D33" s="424"/>
      <c r="E33" s="424"/>
    </row>
    <row r="34" spans="1:7" hidden="1">
      <c r="A34" s="143" t="s">
        <v>203</v>
      </c>
      <c r="D34" s="424"/>
      <c r="E34" s="424"/>
    </row>
    <row r="35" spans="1:7" hidden="1">
      <c r="A35" s="1" t="s">
        <v>127</v>
      </c>
      <c r="D35" s="141">
        <f>SUM(D30:D34)</f>
        <v>0</v>
      </c>
      <c r="E35" s="141">
        <f>SUM(E30:E34)</f>
        <v>0</v>
      </c>
    </row>
    <row r="36" spans="1:7" hidden="1"/>
    <row r="37" spans="1:7" hidden="1"/>
    <row r="38" spans="1:7" hidden="1">
      <c r="A38" s="12" t="s">
        <v>593</v>
      </c>
      <c r="G38" s="346" t="s">
        <v>609</v>
      </c>
    </row>
    <row r="39" spans="1:7" hidden="1">
      <c r="A39" s="1" t="s">
        <v>204</v>
      </c>
      <c r="D39" s="338">
        <f>D21+D30</f>
        <v>0</v>
      </c>
      <c r="E39" s="338">
        <f>E21-E30</f>
        <v>0</v>
      </c>
      <c r="G39" s="337">
        <f>IF(D21+D30='Component Unit Template'!K58,0,"ERROR")</f>
        <v>0</v>
      </c>
    </row>
    <row r="40" spans="1:7" hidden="1">
      <c r="A40" s="1" t="s">
        <v>202</v>
      </c>
      <c r="D40" s="338">
        <f>D22+D31</f>
        <v>0</v>
      </c>
      <c r="E40" s="338">
        <f>E22-E31</f>
        <v>0</v>
      </c>
      <c r="G40" s="337">
        <f>IF(D22+D31='Component Unit Template'!K59,0,"ERROR")</f>
        <v>0</v>
      </c>
    </row>
    <row r="41" spans="1:7" hidden="1">
      <c r="A41" s="143" t="s">
        <v>125</v>
      </c>
      <c r="D41" s="338">
        <f>D23+D32</f>
        <v>0</v>
      </c>
      <c r="E41" s="338">
        <f>E23-E32</f>
        <v>0</v>
      </c>
      <c r="G41" s="337">
        <f>IF(D23+D32='Component Unit Template'!K60,0,"ERROR")</f>
        <v>0</v>
      </c>
    </row>
    <row r="42" spans="1:7" hidden="1">
      <c r="A42" s="1" t="s">
        <v>525</v>
      </c>
      <c r="D42" s="338">
        <f>D24+D33</f>
        <v>0</v>
      </c>
      <c r="E42" s="338">
        <f>E24-E33</f>
        <v>0</v>
      </c>
      <c r="G42" s="337">
        <f>IF(D24+D33='Component Unit Template'!K61,0,"ERROR")</f>
        <v>0</v>
      </c>
    </row>
    <row r="43" spans="1:7" hidden="1">
      <c r="A43" s="1" t="s">
        <v>126</v>
      </c>
      <c r="D43" s="338">
        <f>D25+D34</f>
        <v>0</v>
      </c>
      <c r="E43" s="338">
        <f>E25-E34</f>
        <v>0</v>
      </c>
      <c r="G43" s="337">
        <f>IF(D25+D34='Component Unit Template'!K62,0,"ERROR")</f>
        <v>0</v>
      </c>
    </row>
    <row r="44" spans="1:7" ht="12" thickBot="1">
      <c r="A44" s="12" t="s">
        <v>497</v>
      </c>
      <c r="D44" s="134">
        <f>IF((D26+D29)='Component Unit Template'!K63,D26+D29,"ERROR")</f>
        <v>0</v>
      </c>
      <c r="E44" s="134">
        <f>E26+E29</f>
        <v>0</v>
      </c>
      <c r="F44" s="337"/>
    </row>
    <row r="45" spans="1:7" ht="12" thickTop="1">
      <c r="B45" s="665" t="s">
        <v>48</v>
      </c>
      <c r="C45" s="665"/>
      <c r="D45" s="144">
        <f>(SUM(D26+D29)-'Component Unit Template'!K63)</f>
        <v>0</v>
      </c>
    </row>
    <row r="46" spans="1:7" ht="1.5" customHeight="1"/>
    <row r="50" spans="1:9">
      <c r="H50" s="337"/>
    </row>
    <row r="51" spans="1:9" ht="7.5" customHeight="1"/>
    <row r="52" spans="1:9" ht="33.75" customHeight="1">
      <c r="A52" s="12" t="s">
        <v>237</v>
      </c>
      <c r="E52" s="351" t="str">
        <f>D18</f>
        <v>Total Receivables 
as of 
June 30, 2024</v>
      </c>
      <c r="G52" s="649" t="s">
        <v>614</v>
      </c>
      <c r="H52" s="649"/>
      <c r="I52" s="348"/>
    </row>
    <row r="53" spans="1:9" ht="12" customHeight="1">
      <c r="A53" s="12"/>
      <c r="D53" s="347"/>
      <c r="E53" s="351"/>
      <c r="G53" s="347" t="s">
        <v>615</v>
      </c>
      <c r="H53" s="347" t="s">
        <v>616</v>
      </c>
      <c r="I53" s="347"/>
    </row>
    <row r="54" spans="1:9" ht="14.25" customHeight="1">
      <c r="A54" s="1" t="s">
        <v>802</v>
      </c>
      <c r="D54" s="465"/>
      <c r="E54" s="15"/>
      <c r="G54" s="349"/>
      <c r="H54" s="349"/>
    </row>
    <row r="55" spans="1:9" ht="14.25" customHeight="1">
      <c r="A55" s="478" t="s">
        <v>803</v>
      </c>
      <c r="D55" s="465"/>
      <c r="E55" s="15"/>
      <c r="G55" s="349"/>
      <c r="H55" s="349"/>
    </row>
    <row r="56" spans="1:9" ht="14.25" customHeight="1">
      <c r="A56" s="477" t="s">
        <v>805</v>
      </c>
      <c r="D56" s="465"/>
      <c r="E56" s="15"/>
      <c r="G56" s="349"/>
      <c r="H56" s="349"/>
    </row>
    <row r="57" spans="1:9" ht="14.25" customHeight="1">
      <c r="A57" s="477" t="s">
        <v>806</v>
      </c>
      <c r="D57" s="465"/>
      <c r="E57" s="15"/>
      <c r="G57" s="349"/>
      <c r="H57" s="349"/>
    </row>
    <row r="58" spans="1:9" ht="15.75" customHeight="1">
      <c r="A58" s="478" t="s">
        <v>807</v>
      </c>
      <c r="B58" s="151" t="s">
        <v>804</v>
      </c>
      <c r="D58" s="465"/>
      <c r="E58" s="15"/>
      <c r="G58" s="349"/>
      <c r="H58" s="349"/>
    </row>
    <row r="59" spans="1:9" ht="14.25" customHeight="1" thickBot="1">
      <c r="A59" s="12" t="s">
        <v>829</v>
      </c>
      <c r="E59" s="227">
        <f>IF(SUM(E54:E58)='Component Unit Template'!K65,SUM(E54:E58),"ERROR")</f>
        <v>0</v>
      </c>
    </row>
    <row r="60" spans="1:9" ht="12" thickTop="1">
      <c r="C60" s="428"/>
      <c r="D60" s="428" t="s">
        <v>48</v>
      </c>
      <c r="E60" s="427">
        <f>(SUM(E54:E58))-'Component Unit Template'!K65</f>
        <v>0</v>
      </c>
    </row>
    <row r="66" spans="1:7">
      <c r="A66" s="12" t="s">
        <v>925</v>
      </c>
    </row>
    <row r="67" spans="1:7" ht="45">
      <c r="D67" s="530" t="str">
        <f>D18</f>
        <v>Total Receivables 
as of 
June 30, 2024</v>
      </c>
      <c r="E67" s="530" t="str">
        <f>E18</f>
        <v>Portion of Total Receivables to be Collected After 
June 30, 2025</v>
      </c>
    </row>
    <row r="68" spans="1:7">
      <c r="A68" s="12" t="s">
        <v>124</v>
      </c>
    </row>
    <row r="69" spans="1:7">
      <c r="A69" s="1" t="s">
        <v>926</v>
      </c>
      <c r="D69" s="15"/>
      <c r="E69" s="15"/>
    </row>
    <row r="70" spans="1:7">
      <c r="A70" s="1" t="s">
        <v>927</v>
      </c>
      <c r="D70" s="15"/>
      <c r="E70" s="15"/>
    </row>
    <row r="71" spans="1:7">
      <c r="A71" s="1" t="s">
        <v>928</v>
      </c>
      <c r="D71" s="15"/>
      <c r="E71" s="15"/>
    </row>
    <row r="72" spans="1:7">
      <c r="A72" s="1" t="s">
        <v>929</v>
      </c>
      <c r="D72" s="47"/>
      <c r="E72" s="47"/>
    </row>
    <row r="73" spans="1:7" ht="12" thickBot="1">
      <c r="A73" s="1" t="s">
        <v>930</v>
      </c>
      <c r="D73" s="16"/>
      <c r="E73" s="16"/>
      <c r="G73" s="349" t="str">
        <f>IF(D73&lt;&gt;0,"Answer Required","N/A")</f>
        <v>N/A</v>
      </c>
    </row>
    <row r="74" spans="1:7">
      <c r="A74" s="1" t="s">
        <v>931</v>
      </c>
      <c r="D74" s="141">
        <f>SUM(D69:D73)</f>
        <v>0</v>
      </c>
      <c r="E74" s="141">
        <f>SUM(E69:E73)</f>
        <v>0</v>
      </c>
    </row>
    <row r="76" spans="1:7" ht="22.5">
      <c r="A76" s="142" t="s">
        <v>935</v>
      </c>
      <c r="D76" s="382"/>
      <c r="E76" s="382"/>
    </row>
    <row r="77" spans="1:7" ht="12" thickBot="1">
      <c r="A77" s="12" t="s">
        <v>932</v>
      </c>
      <c r="D77" s="134">
        <f>IF((D74+D76)='Component Unit Template'!K111,D74+D76,"ERROR")</f>
        <v>0</v>
      </c>
      <c r="E77" s="134">
        <f>E74+E76</f>
        <v>0</v>
      </c>
      <c r="F77" s="337"/>
    </row>
    <row r="78" spans="1:7" ht="12" thickTop="1">
      <c r="B78" s="665" t="s">
        <v>48</v>
      </c>
      <c r="C78" s="665"/>
      <c r="D78" s="144">
        <f>(SUM(D74+D76)-'Component Unit Template'!K111)</f>
        <v>0</v>
      </c>
    </row>
    <row r="84" spans="1:11">
      <c r="A84" s="12" t="s">
        <v>920</v>
      </c>
    </row>
    <row r="86" spans="1:11" ht="12.75">
      <c r="A86" s="12" t="s">
        <v>238</v>
      </c>
      <c r="K86"/>
    </row>
    <row r="87" spans="1:11" ht="45" customHeight="1">
      <c r="A87" s="275" t="s">
        <v>665</v>
      </c>
      <c r="B87" s="666" t="s">
        <v>241</v>
      </c>
      <c r="C87" s="667"/>
      <c r="D87" s="667"/>
      <c r="E87" s="667"/>
      <c r="F87" s="668"/>
      <c r="G87" s="275" t="s">
        <v>176</v>
      </c>
    </row>
    <row r="88" spans="1:11">
      <c r="A88" s="276"/>
      <c r="B88" s="669"/>
      <c r="C88" s="670"/>
      <c r="D88" s="670"/>
      <c r="E88" s="670"/>
      <c r="F88" s="671"/>
      <c r="G88" s="277"/>
    </row>
    <row r="89" spans="1:11">
      <c r="A89" s="276"/>
      <c r="B89" s="669"/>
      <c r="C89" s="670"/>
      <c r="D89" s="670"/>
      <c r="E89" s="670"/>
      <c r="F89" s="671"/>
      <c r="G89" s="277"/>
    </row>
    <row r="90" spans="1:11">
      <c r="A90" s="276"/>
      <c r="B90" s="669"/>
      <c r="C90" s="670"/>
      <c r="D90" s="670"/>
      <c r="E90" s="670"/>
      <c r="F90" s="671"/>
      <c r="G90" s="277"/>
    </row>
    <row r="91" spans="1:11">
      <c r="A91" s="276"/>
      <c r="B91" s="669"/>
      <c r="C91" s="670"/>
      <c r="D91" s="670"/>
      <c r="E91" s="670"/>
      <c r="F91" s="671"/>
      <c r="G91" s="277"/>
    </row>
    <row r="92" spans="1:11">
      <c r="A92" s="276"/>
      <c r="B92" s="669"/>
      <c r="C92" s="670"/>
      <c r="D92" s="670"/>
      <c r="E92" s="670"/>
      <c r="F92" s="671"/>
      <c r="G92" s="277"/>
    </row>
    <row r="93" spans="1:11">
      <c r="A93" s="276"/>
      <c r="B93" s="669"/>
      <c r="C93" s="670"/>
      <c r="D93" s="670"/>
      <c r="E93" s="670"/>
      <c r="F93" s="671"/>
      <c r="G93" s="277"/>
    </row>
    <row r="94" spans="1:11">
      <c r="A94" s="276"/>
      <c r="B94" s="669"/>
      <c r="C94" s="670"/>
      <c r="D94" s="670"/>
      <c r="E94" s="670"/>
      <c r="F94" s="671"/>
      <c r="G94" s="277"/>
    </row>
    <row r="95" spans="1:11">
      <c r="A95" s="276"/>
      <c r="B95" s="669"/>
      <c r="C95" s="670"/>
      <c r="D95" s="670"/>
      <c r="E95" s="670"/>
      <c r="F95" s="671"/>
      <c r="G95" s="277"/>
    </row>
    <row r="96" spans="1:11">
      <c r="A96" s="278"/>
      <c r="B96" s="143"/>
      <c r="C96" s="279"/>
      <c r="D96" s="279"/>
      <c r="E96" s="279"/>
      <c r="F96" s="279"/>
      <c r="G96" s="143"/>
    </row>
    <row r="97" spans="1:7" ht="12" thickBot="1">
      <c r="A97" s="278"/>
      <c r="B97" s="280" t="s">
        <v>239</v>
      </c>
      <c r="C97" s="279"/>
      <c r="D97" s="279"/>
      <c r="E97" s="279"/>
      <c r="F97" s="279"/>
      <c r="G97" s="281">
        <f>IF(SUM(G88:G95)='Component Unit Template'!K67,SUM(G88:G95),"ERROR")</f>
        <v>0</v>
      </c>
    </row>
    <row r="98" spans="1:7" ht="12" thickTop="1">
      <c r="F98" s="137" t="s">
        <v>48</v>
      </c>
      <c r="G98" s="136">
        <f>SUM(G88:G95)-'Component Unit Template'!K67</f>
        <v>0</v>
      </c>
    </row>
    <row r="99" spans="1:7">
      <c r="A99" s="12" t="s">
        <v>373</v>
      </c>
    </row>
    <row r="100" spans="1:7" ht="45" customHeight="1">
      <c r="A100" s="275" t="s">
        <v>666</v>
      </c>
      <c r="B100" s="666" t="s">
        <v>242</v>
      </c>
      <c r="C100" s="667"/>
      <c r="D100" s="667"/>
      <c r="E100" s="667"/>
      <c r="F100" s="668"/>
      <c r="G100" s="275" t="s">
        <v>176</v>
      </c>
    </row>
    <row r="101" spans="1:7">
      <c r="A101" s="276"/>
      <c r="B101" s="669"/>
      <c r="C101" s="670"/>
      <c r="D101" s="670"/>
      <c r="E101" s="670"/>
      <c r="F101" s="671"/>
      <c r="G101" s="277"/>
    </row>
    <row r="102" spans="1:7">
      <c r="A102" s="276"/>
      <c r="B102" s="669"/>
      <c r="C102" s="670"/>
      <c r="D102" s="670"/>
      <c r="E102" s="670"/>
      <c r="F102" s="671"/>
      <c r="G102" s="277"/>
    </row>
    <row r="103" spans="1:7">
      <c r="A103" s="276"/>
      <c r="B103" s="669"/>
      <c r="C103" s="670"/>
      <c r="D103" s="670"/>
      <c r="E103" s="670"/>
      <c r="F103" s="671"/>
      <c r="G103" s="277"/>
    </row>
    <row r="104" spans="1:7">
      <c r="A104" s="276"/>
      <c r="B104" s="669"/>
      <c r="C104" s="670"/>
      <c r="D104" s="670"/>
      <c r="E104" s="670"/>
      <c r="F104" s="671"/>
      <c r="G104" s="277"/>
    </row>
    <row r="105" spans="1:7">
      <c r="A105" s="276"/>
      <c r="B105" s="669"/>
      <c r="C105" s="670"/>
      <c r="D105" s="670"/>
      <c r="E105" s="670"/>
      <c r="F105" s="671"/>
      <c r="G105" s="277"/>
    </row>
    <row r="106" spans="1:7">
      <c r="A106" s="276"/>
      <c r="B106" s="669"/>
      <c r="C106" s="670"/>
      <c r="D106" s="670"/>
      <c r="E106" s="670"/>
      <c r="F106" s="671"/>
      <c r="G106" s="277"/>
    </row>
    <row r="107" spans="1:7">
      <c r="A107" s="276"/>
      <c r="B107" s="669"/>
      <c r="C107" s="670"/>
      <c r="D107" s="670"/>
      <c r="E107" s="670"/>
      <c r="F107" s="671"/>
      <c r="G107" s="277"/>
    </row>
    <row r="108" spans="1:7">
      <c r="A108" s="276"/>
      <c r="B108" s="669"/>
      <c r="C108" s="670"/>
      <c r="D108" s="670"/>
      <c r="E108" s="670"/>
      <c r="F108" s="671"/>
      <c r="G108" s="277"/>
    </row>
    <row r="109" spans="1:7">
      <c r="A109" s="278"/>
      <c r="B109" s="143"/>
      <c r="C109" s="279"/>
      <c r="D109" s="279"/>
      <c r="E109" s="279"/>
      <c r="F109" s="279"/>
      <c r="G109" s="143"/>
    </row>
    <row r="110" spans="1:7" ht="12" thickBot="1">
      <c r="A110" s="278"/>
      <c r="B110" s="280" t="s">
        <v>240</v>
      </c>
      <c r="C110" s="279"/>
      <c r="D110" s="279"/>
      <c r="E110" s="279"/>
      <c r="F110" s="279"/>
      <c r="G110" s="281">
        <f>IF(SUM(G101:G108)='Component Unit Template'!K140,SUM(G101:G108),"ERROR")</f>
        <v>0</v>
      </c>
    </row>
    <row r="111" spans="1:7" ht="12" thickTop="1">
      <c r="F111" s="137" t="s">
        <v>48</v>
      </c>
      <c r="G111" s="136">
        <f>SUM(G101:G108)-'Component Unit Template'!K140</f>
        <v>0</v>
      </c>
    </row>
    <row r="112" spans="1:7">
      <c r="A112" s="12" t="s">
        <v>243</v>
      </c>
    </row>
    <row r="113" spans="1:7" ht="56.25" customHeight="1">
      <c r="A113" s="275" t="s">
        <v>244</v>
      </c>
      <c r="B113" s="666" t="s">
        <v>241</v>
      </c>
      <c r="C113" s="667"/>
      <c r="D113" s="667"/>
      <c r="E113" s="667"/>
      <c r="F113" s="668"/>
      <c r="G113" s="275" t="s">
        <v>176</v>
      </c>
    </row>
    <row r="114" spans="1:7">
      <c r="A114" s="276"/>
      <c r="B114" s="669"/>
      <c r="C114" s="670"/>
      <c r="D114" s="670"/>
      <c r="E114" s="670"/>
      <c r="F114" s="671"/>
      <c r="G114" s="277"/>
    </row>
    <row r="115" spans="1:7">
      <c r="A115" s="276"/>
      <c r="B115" s="669"/>
      <c r="C115" s="670"/>
      <c r="D115" s="670"/>
      <c r="E115" s="670"/>
      <c r="F115" s="671"/>
      <c r="G115" s="277"/>
    </row>
    <row r="116" spans="1:7">
      <c r="A116" s="276"/>
      <c r="B116" s="669"/>
      <c r="C116" s="670"/>
      <c r="D116" s="670"/>
      <c r="E116" s="670"/>
      <c r="F116" s="671"/>
      <c r="G116" s="277"/>
    </row>
    <row r="117" spans="1:7">
      <c r="A117" s="276"/>
      <c r="B117" s="669"/>
      <c r="C117" s="670"/>
      <c r="D117" s="670"/>
      <c r="E117" s="670"/>
      <c r="F117" s="671"/>
      <c r="G117" s="277"/>
    </row>
    <row r="118" spans="1:7">
      <c r="A118" s="276"/>
      <c r="B118" s="669"/>
      <c r="C118" s="670"/>
      <c r="D118" s="670"/>
      <c r="E118" s="670"/>
      <c r="F118" s="671"/>
      <c r="G118" s="277"/>
    </row>
    <row r="119" spans="1:7">
      <c r="A119" s="276"/>
      <c r="B119" s="669"/>
      <c r="C119" s="670"/>
      <c r="D119" s="670"/>
      <c r="E119" s="670"/>
      <c r="F119" s="671"/>
      <c r="G119" s="277"/>
    </row>
    <row r="120" spans="1:7">
      <c r="A120" s="276"/>
      <c r="B120" s="669"/>
      <c r="C120" s="670"/>
      <c r="D120" s="670"/>
      <c r="E120" s="670"/>
      <c r="F120" s="671"/>
      <c r="G120" s="277"/>
    </row>
    <row r="121" spans="1:7">
      <c r="A121" s="276"/>
      <c r="B121" s="669"/>
      <c r="C121" s="670"/>
      <c r="D121" s="670"/>
      <c r="E121" s="670"/>
      <c r="F121" s="671"/>
      <c r="G121" s="277"/>
    </row>
    <row r="122" spans="1:7">
      <c r="A122" s="278"/>
      <c r="B122" s="143"/>
      <c r="C122" s="279"/>
      <c r="D122" s="279"/>
      <c r="E122" s="279"/>
      <c r="F122" s="279"/>
      <c r="G122" s="143"/>
    </row>
    <row r="123" spans="1:7" ht="12" thickBot="1">
      <c r="A123" s="278"/>
      <c r="B123" s="280" t="s">
        <v>245</v>
      </c>
      <c r="C123" s="279"/>
      <c r="D123" s="279"/>
      <c r="E123" s="279"/>
      <c r="F123" s="279"/>
      <c r="G123" s="281">
        <f>IF(SUM(G114:G121)='Component Unit Template'!K69,SUM(G114:G121),"ERROR")</f>
        <v>0</v>
      </c>
    </row>
    <row r="124" spans="1:7" ht="12" thickTop="1">
      <c r="F124" s="137" t="s">
        <v>48</v>
      </c>
      <c r="G124" s="136">
        <f>SUM(G114:G121)-'Component Unit Template'!K69</f>
        <v>0</v>
      </c>
    </row>
    <row r="125" spans="1:7">
      <c r="A125" s="12" t="s">
        <v>196</v>
      </c>
    </row>
    <row r="126" spans="1:7" ht="56.25" customHeight="1">
      <c r="A126" s="275" t="s">
        <v>834</v>
      </c>
      <c r="B126" s="666" t="s">
        <v>242</v>
      </c>
      <c r="C126" s="667"/>
      <c r="D126" s="667"/>
      <c r="E126" s="667"/>
      <c r="F126" s="668"/>
      <c r="G126" s="275" t="s">
        <v>176</v>
      </c>
    </row>
    <row r="127" spans="1:7">
      <c r="A127" s="276"/>
      <c r="B127" s="669"/>
      <c r="C127" s="670"/>
      <c r="D127" s="670"/>
      <c r="E127" s="670"/>
      <c r="F127" s="671"/>
      <c r="G127" s="277"/>
    </row>
    <row r="128" spans="1:7">
      <c r="A128" s="276"/>
      <c r="B128" s="669"/>
      <c r="C128" s="670"/>
      <c r="D128" s="670"/>
      <c r="E128" s="670"/>
      <c r="F128" s="671"/>
      <c r="G128" s="277"/>
    </row>
    <row r="129" spans="1:13">
      <c r="A129" s="276"/>
      <c r="B129" s="669"/>
      <c r="C129" s="670"/>
      <c r="D129" s="670"/>
      <c r="E129" s="670"/>
      <c r="F129" s="671"/>
      <c r="G129" s="277"/>
    </row>
    <row r="130" spans="1:13">
      <c r="A130" s="276"/>
      <c r="B130" s="669"/>
      <c r="C130" s="670"/>
      <c r="D130" s="670"/>
      <c r="E130" s="670"/>
      <c r="F130" s="671"/>
      <c r="G130" s="277"/>
    </row>
    <row r="131" spans="1:13">
      <c r="A131" s="276"/>
      <c r="B131" s="669"/>
      <c r="C131" s="670"/>
      <c r="D131" s="670"/>
      <c r="E131" s="670"/>
      <c r="F131" s="671"/>
      <c r="G131" s="277"/>
    </row>
    <row r="132" spans="1:13">
      <c r="A132" s="276"/>
      <c r="B132" s="669"/>
      <c r="C132" s="670"/>
      <c r="D132" s="670"/>
      <c r="E132" s="670"/>
      <c r="F132" s="671"/>
      <c r="G132" s="277"/>
    </row>
    <row r="133" spans="1:13">
      <c r="A133" s="276"/>
      <c r="B133" s="669"/>
      <c r="C133" s="670"/>
      <c r="D133" s="670"/>
      <c r="E133" s="670"/>
      <c r="F133" s="671"/>
      <c r="G133" s="277"/>
    </row>
    <row r="134" spans="1:13">
      <c r="A134" s="276"/>
      <c r="B134" s="669"/>
      <c r="C134" s="670"/>
      <c r="D134" s="670"/>
      <c r="E134" s="670"/>
      <c r="F134" s="671"/>
      <c r="G134" s="277"/>
    </row>
    <row r="135" spans="1:13">
      <c r="A135" s="278"/>
      <c r="B135" s="143"/>
      <c r="C135" s="279"/>
      <c r="D135" s="279"/>
      <c r="E135" s="279"/>
      <c r="F135" s="279"/>
      <c r="G135" s="143"/>
    </row>
    <row r="136" spans="1:13" ht="12" thickBot="1">
      <c r="A136" s="278"/>
      <c r="B136" s="280" t="s">
        <v>246</v>
      </c>
      <c r="C136" s="279"/>
      <c r="D136" s="279"/>
      <c r="E136" s="279"/>
      <c r="F136" s="279"/>
      <c r="G136" s="281">
        <f>IF(SUM(G127:G134)='Component Unit Template'!K139,SUM(G127:G134),"ERROR")</f>
        <v>0</v>
      </c>
    </row>
    <row r="137" spans="1:13" ht="12" thickTop="1">
      <c r="F137" s="137" t="s">
        <v>48</v>
      </c>
      <c r="G137" s="136">
        <f>SUM(G127:G134)-'Component Unit Template'!K139</f>
        <v>0</v>
      </c>
      <c r="M137" s="479"/>
    </row>
    <row r="138" spans="1:13" ht="89.25" hidden="1" customHeight="1">
      <c r="A138" s="517" t="s">
        <v>890</v>
      </c>
      <c r="D138" s="517" t="s">
        <v>945</v>
      </c>
      <c r="E138" s="517" t="s">
        <v>889</v>
      </c>
    </row>
    <row r="139" spans="1:13" ht="12.75" hidden="1">
      <c r="A139" s="1" t="s">
        <v>766</v>
      </c>
      <c r="B139"/>
      <c r="C139"/>
      <c r="D139" s="1" t="s">
        <v>620</v>
      </c>
    </row>
    <row r="140" spans="1:13" ht="12.75" hidden="1">
      <c r="A140" s="1" t="s">
        <v>624</v>
      </c>
      <c r="B140"/>
      <c r="C140"/>
      <c r="D140" s="1" t="s">
        <v>747</v>
      </c>
    </row>
    <row r="141" spans="1:13" ht="12.75" hidden="1">
      <c r="A141" s="1" t="s">
        <v>622</v>
      </c>
      <c r="B141"/>
      <c r="C141"/>
      <c r="D141" s="1" t="s">
        <v>950</v>
      </c>
    </row>
    <row r="142" spans="1:13" ht="12.75" hidden="1">
      <c r="A142" s="1" t="s">
        <v>891</v>
      </c>
      <c r="B142"/>
      <c r="C142"/>
      <c r="D142" s="1" t="s">
        <v>730</v>
      </c>
    </row>
    <row r="143" spans="1:13" ht="12.75" hidden="1">
      <c r="A143" s="1" t="s">
        <v>767</v>
      </c>
      <c r="B143"/>
      <c r="C143"/>
      <c r="D143" s="1" t="s">
        <v>619</v>
      </c>
    </row>
    <row r="144" spans="1:13" ht="12.75" hidden="1">
      <c r="A144" s="1" t="s">
        <v>623</v>
      </c>
      <c r="B144"/>
      <c r="C144"/>
      <c r="D144" s="1" t="s">
        <v>860</v>
      </c>
    </row>
    <row r="145" spans="1:4" ht="12.75" hidden="1">
      <c r="A145" s="1" t="s">
        <v>768</v>
      </c>
      <c r="B145"/>
      <c r="C145"/>
      <c r="D145" s="1" t="s">
        <v>346</v>
      </c>
    </row>
    <row r="146" spans="1:4" ht="12.75" hidden="1">
      <c r="A146" s="1" t="s">
        <v>621</v>
      </c>
      <c r="B146"/>
      <c r="C146"/>
      <c r="D146" s="1" t="s">
        <v>0</v>
      </c>
    </row>
    <row r="147" spans="1:4" ht="12.75" hidden="1">
      <c r="A147" s="1" t="s">
        <v>892</v>
      </c>
      <c r="B147"/>
      <c r="C147"/>
      <c r="D147" s="1" t="s">
        <v>949</v>
      </c>
    </row>
    <row r="148" spans="1:4" ht="12.75" hidden="1">
      <c r="A148" s="1" t="s">
        <v>272</v>
      </c>
      <c r="B148"/>
      <c r="C148"/>
      <c r="D148" s="1" t="s">
        <v>19</v>
      </c>
    </row>
    <row r="149" spans="1:4" ht="12.75" hidden="1">
      <c r="A149" s="1" t="s">
        <v>285</v>
      </c>
      <c r="B149"/>
      <c r="C149"/>
      <c r="D149" s="1" t="s">
        <v>764</v>
      </c>
    </row>
    <row r="150" spans="1:4" ht="12.75" hidden="1">
      <c r="A150" s="1" t="s">
        <v>275</v>
      </c>
      <c r="B150"/>
      <c r="C150" s="128"/>
      <c r="D150" s="1" t="s">
        <v>23</v>
      </c>
    </row>
    <row r="151" spans="1:4" ht="12.75" hidden="1">
      <c r="A151" s="1" t="s">
        <v>286</v>
      </c>
      <c r="B151"/>
      <c r="C151" s="128"/>
      <c r="D151" s="1" t="s">
        <v>738</v>
      </c>
    </row>
    <row r="152" spans="1:4" ht="12.75" hidden="1">
      <c r="A152" s="1" t="s">
        <v>268</v>
      </c>
      <c r="B152"/>
      <c r="C152"/>
      <c r="D152" s="1" t="s">
        <v>307</v>
      </c>
    </row>
    <row r="153" spans="1:4" ht="12.75" hidden="1">
      <c r="A153" s="1" t="s">
        <v>956</v>
      </c>
      <c r="B153"/>
      <c r="C153"/>
      <c r="D153" s="1" t="s">
        <v>757</v>
      </c>
    </row>
    <row r="154" spans="1:4" ht="12.75" hidden="1">
      <c r="A154" s="1" t="s">
        <v>287</v>
      </c>
      <c r="B154"/>
      <c r="C154"/>
      <c r="D154" s="1" t="s">
        <v>309</v>
      </c>
    </row>
    <row r="155" spans="1:4" ht="12.75" hidden="1">
      <c r="A155" s="1" t="s">
        <v>893</v>
      </c>
      <c r="B155"/>
      <c r="C155"/>
      <c r="D155" s="1" t="s">
        <v>840</v>
      </c>
    </row>
    <row r="156" spans="1:4" ht="12.75" hidden="1">
      <c r="A156" s="1" t="s">
        <v>894</v>
      </c>
      <c r="B156"/>
      <c r="C156" s="128"/>
      <c r="D156" s="1" t="s">
        <v>639</v>
      </c>
    </row>
    <row r="157" spans="1:4" ht="12.75" hidden="1">
      <c r="A157" s="1" t="s">
        <v>895</v>
      </c>
      <c r="B157"/>
      <c r="C157"/>
      <c r="D157" s="1" t="s">
        <v>841</v>
      </c>
    </row>
    <row r="158" spans="1:4" ht="12.75" hidden="1">
      <c r="A158" s="1" t="s">
        <v>263</v>
      </c>
      <c r="B158"/>
      <c r="C158"/>
      <c r="D158" s="1" t="s">
        <v>908</v>
      </c>
    </row>
    <row r="159" spans="1:4" ht="12.75" hidden="1">
      <c r="A159" s="1" t="s">
        <v>769</v>
      </c>
      <c r="B159"/>
      <c r="C159"/>
      <c r="D159" s="1" t="s">
        <v>765</v>
      </c>
    </row>
    <row r="160" spans="1:4" ht="12.75" hidden="1">
      <c r="A160" s="1" t="s">
        <v>896</v>
      </c>
      <c r="B160"/>
      <c r="C160"/>
      <c r="D160" s="1" t="s">
        <v>326</v>
      </c>
    </row>
    <row r="161" spans="1:4" ht="12.75" hidden="1">
      <c r="A161" s="1" t="s">
        <v>288</v>
      </c>
      <c r="B161"/>
      <c r="C161"/>
      <c r="D161" s="1" t="s">
        <v>314</v>
      </c>
    </row>
    <row r="162" spans="1:4" ht="12.75" hidden="1">
      <c r="A162" s="1" t="s">
        <v>261</v>
      </c>
      <c r="B162"/>
      <c r="C162"/>
      <c r="D162" s="1" t="s">
        <v>946</v>
      </c>
    </row>
    <row r="163" spans="1:4" ht="12.75" hidden="1">
      <c r="A163" s="1" t="s">
        <v>281</v>
      </c>
      <c r="B163"/>
      <c r="C163"/>
      <c r="D163" s="1" t="s">
        <v>744</v>
      </c>
    </row>
    <row r="164" spans="1:4" ht="12.75" hidden="1">
      <c r="A164" s="1" t="s">
        <v>897</v>
      </c>
      <c r="B164"/>
      <c r="C164"/>
      <c r="D164" s="1" t="s">
        <v>754</v>
      </c>
    </row>
    <row r="165" spans="1:4" ht="12.75" hidden="1">
      <c r="A165" s="1" t="s">
        <v>283</v>
      </c>
      <c r="B165"/>
      <c r="C165"/>
      <c r="D165" s="1" t="s">
        <v>755</v>
      </c>
    </row>
    <row r="166" spans="1:4" ht="12.75" hidden="1">
      <c r="A166" s="1" t="s">
        <v>270</v>
      </c>
      <c r="B166"/>
      <c r="C166"/>
      <c r="D166" s="1" t="s">
        <v>321</v>
      </c>
    </row>
    <row r="167" spans="1:4" ht="12.75" hidden="1">
      <c r="A167" s="1" t="s">
        <v>260</v>
      </c>
      <c r="B167"/>
      <c r="C167"/>
      <c r="D167" s="1" t="s">
        <v>330</v>
      </c>
    </row>
    <row r="168" spans="1:4" ht="12.75" hidden="1">
      <c r="A168" s="1" t="s">
        <v>273</v>
      </c>
      <c r="B168"/>
      <c r="C168" s="128"/>
      <c r="D168" s="1" t="s">
        <v>746</v>
      </c>
    </row>
    <row r="169" spans="1:4" ht="12.75" hidden="1">
      <c r="A169" s="1" t="s">
        <v>265</v>
      </c>
      <c r="B169"/>
      <c r="C169"/>
      <c r="D169" s="1" t="s">
        <v>22</v>
      </c>
    </row>
    <row r="170" spans="1:4" ht="12.75" hidden="1">
      <c r="A170" s="1" t="s">
        <v>899</v>
      </c>
      <c r="B170"/>
      <c r="C170"/>
      <c r="D170" s="1" t="s">
        <v>909</v>
      </c>
    </row>
    <row r="171" spans="1:4" ht="12.75" hidden="1">
      <c r="A171" s="1" t="s">
        <v>782</v>
      </c>
      <c r="B171"/>
      <c r="C171"/>
      <c r="D171" s="1" t="s">
        <v>737</v>
      </c>
    </row>
    <row r="172" spans="1:4" ht="12.75" hidden="1">
      <c r="A172" s="1" t="s">
        <v>274</v>
      </c>
      <c r="B172"/>
      <c r="C172"/>
      <c r="D172" s="1" t="s">
        <v>753</v>
      </c>
    </row>
    <row r="173" spans="1:4" ht="12.75" hidden="1">
      <c r="A173" s="1" t="s">
        <v>264</v>
      </c>
      <c r="B173"/>
      <c r="C173"/>
      <c r="D173" s="1" t="s">
        <v>318</v>
      </c>
    </row>
    <row r="174" spans="1:4" ht="12.75" hidden="1">
      <c r="A174" s="1" t="s">
        <v>955</v>
      </c>
      <c r="B174"/>
      <c r="D174" s="1" t="s">
        <v>739</v>
      </c>
    </row>
    <row r="175" spans="1:4" ht="12.75" hidden="1">
      <c r="A175" s="1" t="s">
        <v>266</v>
      </c>
      <c r="B175"/>
      <c r="C175"/>
      <c r="D175" s="1" t="s">
        <v>736</v>
      </c>
    </row>
    <row r="176" spans="1:4" ht="12.75" hidden="1">
      <c r="A176" s="1" t="s">
        <v>282</v>
      </c>
      <c r="B176"/>
      <c r="C176"/>
      <c r="D176" s="1" t="s">
        <v>633</v>
      </c>
    </row>
    <row r="177" spans="1:4" ht="12.75" hidden="1">
      <c r="A177" s="1" t="s">
        <v>770</v>
      </c>
      <c r="B177"/>
      <c r="C177"/>
      <c r="D177" s="1" t="s">
        <v>315</v>
      </c>
    </row>
    <row r="178" spans="1:4" ht="12.75" hidden="1">
      <c r="A178" s="1" t="s">
        <v>783</v>
      </c>
      <c r="B178"/>
      <c r="C178"/>
      <c r="D178" s="1" t="s">
        <v>861</v>
      </c>
    </row>
    <row r="179" spans="1:4" ht="12.75" hidden="1">
      <c r="A179" s="1" t="s">
        <v>271</v>
      </c>
      <c r="B179"/>
      <c r="C179"/>
      <c r="D179" s="1" t="s">
        <v>10</v>
      </c>
    </row>
    <row r="180" spans="1:4" ht="12.75" hidden="1">
      <c r="A180" s="1" t="s">
        <v>278</v>
      </c>
      <c r="B180"/>
      <c r="C180"/>
      <c r="D180" s="1" t="s">
        <v>29</v>
      </c>
    </row>
    <row r="181" spans="1:4" ht="12.75" hidden="1">
      <c r="A181" s="1" t="s">
        <v>900</v>
      </c>
      <c r="B181"/>
      <c r="C181"/>
      <c r="D181" s="1" t="s">
        <v>18</v>
      </c>
    </row>
    <row r="182" spans="1:4" ht="12.75" hidden="1">
      <c r="A182" s="1" t="s">
        <v>779</v>
      </c>
      <c r="B182"/>
      <c r="C182"/>
      <c r="D182" s="1" t="s">
        <v>6</v>
      </c>
    </row>
    <row r="183" spans="1:4" ht="12.75" hidden="1">
      <c r="A183" s="1" t="s">
        <v>777</v>
      </c>
      <c r="B183"/>
      <c r="C183"/>
      <c r="D183" s="1" t="s">
        <v>343</v>
      </c>
    </row>
    <row r="184" spans="1:4" ht="12.75" hidden="1">
      <c r="A184" s="1" t="s">
        <v>279</v>
      </c>
      <c r="B184"/>
      <c r="C184"/>
      <c r="D184" s="1" t="s">
        <v>14</v>
      </c>
    </row>
    <row r="185" spans="1:4" ht="12.75" hidden="1">
      <c r="A185" s="1" t="s">
        <v>634</v>
      </c>
      <c r="B185"/>
      <c r="C185"/>
      <c r="D185" s="1" t="s">
        <v>345</v>
      </c>
    </row>
    <row r="186" spans="1:4" ht="12.75" hidden="1">
      <c r="A186" s="1" t="s">
        <v>771</v>
      </c>
      <c r="B186"/>
      <c r="C186"/>
      <c r="D186" s="1" t="s">
        <v>8</v>
      </c>
    </row>
    <row r="187" spans="1:4" ht="12.75" hidden="1">
      <c r="A187" s="1" t="s">
        <v>901</v>
      </c>
      <c r="B187"/>
      <c r="C187"/>
      <c r="D187" s="1" t="s">
        <v>734</v>
      </c>
    </row>
    <row r="188" spans="1:4" ht="12.75" hidden="1">
      <c r="A188" s="1" t="s">
        <v>262</v>
      </c>
      <c r="B188"/>
      <c r="C188"/>
      <c r="D188" s="1" t="s">
        <v>316</v>
      </c>
    </row>
    <row r="189" spans="1:4" ht="12.75" hidden="1">
      <c r="A189" s="1" t="s">
        <v>778</v>
      </c>
      <c r="B189"/>
      <c r="C189"/>
      <c r="D189" s="1" t="s">
        <v>17</v>
      </c>
    </row>
    <row r="190" spans="1:4" ht="12.75" hidden="1">
      <c r="A190" s="1" t="s">
        <v>257</v>
      </c>
      <c r="B190"/>
      <c r="C190"/>
      <c r="D190" s="1" t="s">
        <v>335</v>
      </c>
    </row>
    <row r="191" spans="1:4" ht="12.75" hidden="1">
      <c r="A191" s="1" t="s">
        <v>267</v>
      </c>
      <c r="B191"/>
      <c r="C191"/>
      <c r="D191" s="1" t="s">
        <v>751</v>
      </c>
    </row>
    <row r="192" spans="1:4" ht="12.75" hidden="1">
      <c r="A192" s="1" t="s">
        <v>772</v>
      </c>
      <c r="B192"/>
      <c r="C192"/>
      <c r="D192" s="1" t="s">
        <v>313</v>
      </c>
    </row>
    <row r="193" spans="1:4" ht="12.75" hidden="1">
      <c r="A193" s="1" t="s">
        <v>773</v>
      </c>
      <c r="B193"/>
      <c r="C193"/>
      <c r="D193" s="1" t="s">
        <v>323</v>
      </c>
    </row>
    <row r="194" spans="1:4" ht="12.75" hidden="1">
      <c r="A194" s="1" t="s">
        <v>774</v>
      </c>
      <c r="B194"/>
      <c r="C194"/>
      <c r="D194" s="1" t="s">
        <v>13</v>
      </c>
    </row>
    <row r="195" spans="1:4" ht="12.75" hidden="1">
      <c r="A195" s="1" t="s">
        <v>902</v>
      </c>
      <c r="B195"/>
      <c r="C195"/>
      <c r="D195" s="1" t="s">
        <v>312</v>
      </c>
    </row>
    <row r="196" spans="1:4" ht="12.75" hidden="1">
      <c r="A196" s="1" t="s">
        <v>284</v>
      </c>
      <c r="B196"/>
      <c r="C196"/>
      <c r="D196" s="1" t="s">
        <v>741</v>
      </c>
    </row>
    <row r="197" spans="1:4" ht="12.75" hidden="1">
      <c r="A197" s="1" t="s">
        <v>289</v>
      </c>
      <c r="B197"/>
      <c r="C197"/>
      <c r="D197" s="1" t="s">
        <v>750</v>
      </c>
    </row>
    <row r="198" spans="1:4" ht="12.75" hidden="1">
      <c r="A198" s="1" t="s">
        <v>903</v>
      </c>
      <c r="B198"/>
      <c r="C198"/>
      <c r="D198" s="1" t="s">
        <v>749</v>
      </c>
    </row>
    <row r="199" spans="1:4" ht="12.75" hidden="1">
      <c r="A199" s="1" t="s">
        <v>781</v>
      </c>
      <c r="B199"/>
      <c r="C199"/>
      <c r="D199" s="1" t="s">
        <v>16</v>
      </c>
    </row>
    <row r="200" spans="1:4" ht="12.75" hidden="1">
      <c r="A200" s="1" t="s">
        <v>269</v>
      </c>
      <c r="B200"/>
      <c r="C200"/>
      <c r="D200" s="1" t="s">
        <v>325</v>
      </c>
    </row>
    <row r="201" spans="1:4" ht="12.75" hidden="1">
      <c r="A201" s="1" t="s">
        <v>954</v>
      </c>
      <c r="B201"/>
      <c r="C201"/>
      <c r="D201" s="1" t="s">
        <v>329</v>
      </c>
    </row>
    <row r="202" spans="1:4" ht="12.75" hidden="1">
      <c r="A202" s="1" t="s">
        <v>953</v>
      </c>
      <c r="B202"/>
      <c r="C202"/>
      <c r="D202" s="1" t="s">
        <v>322</v>
      </c>
    </row>
    <row r="203" spans="1:4" ht="12.75" hidden="1">
      <c r="A203" s="1" t="s">
        <v>780</v>
      </c>
      <c r="B203"/>
      <c r="C203"/>
      <c r="D203" s="1" t="s">
        <v>11</v>
      </c>
    </row>
    <row r="204" spans="1:4" ht="12.75" hidden="1">
      <c r="A204" s="173" t="s">
        <v>290</v>
      </c>
      <c r="B204"/>
      <c r="C204"/>
      <c r="D204" s="1" t="s">
        <v>910</v>
      </c>
    </row>
    <row r="205" spans="1:4" ht="12.75" hidden="1">
      <c r="A205" s="1" t="s">
        <v>587</v>
      </c>
      <c r="B205"/>
      <c r="C205"/>
      <c r="D205" s="1" t="s">
        <v>952</v>
      </c>
    </row>
    <row r="206" spans="1:4" ht="12.75" hidden="1">
      <c r="A206" s="1" t="s">
        <v>586</v>
      </c>
      <c r="B206"/>
      <c r="C206"/>
      <c r="D206" s="1" t="s">
        <v>951</v>
      </c>
    </row>
    <row r="207" spans="1:4" ht="12.75" hidden="1">
      <c r="A207" s="1" t="s">
        <v>280</v>
      </c>
      <c r="B207"/>
      <c r="C207"/>
      <c r="D207" s="1" t="s">
        <v>26</v>
      </c>
    </row>
    <row r="208" spans="1:4" ht="12.75" hidden="1">
      <c r="A208" s="1" t="s">
        <v>291</v>
      </c>
      <c r="B208"/>
      <c r="C208"/>
      <c r="D208" s="1" t="s">
        <v>839</v>
      </c>
    </row>
    <row r="209" spans="1:4" ht="12.75" hidden="1">
      <c r="A209" s="1" t="s">
        <v>837</v>
      </c>
      <c r="B209"/>
      <c r="C209"/>
      <c r="D209" s="1" t="s">
        <v>948</v>
      </c>
    </row>
    <row r="210" spans="1:4" ht="12.75" hidden="1">
      <c r="A210" s="1" t="s">
        <v>904</v>
      </c>
      <c r="B210"/>
      <c r="C210"/>
      <c r="D210" s="1" t="s">
        <v>30</v>
      </c>
    </row>
    <row r="211" spans="1:4" ht="12.75" hidden="1">
      <c r="A211" s="1" t="s">
        <v>292</v>
      </c>
      <c r="B211"/>
      <c r="C211"/>
      <c r="D211" s="1" t="s">
        <v>732</v>
      </c>
    </row>
    <row r="212" spans="1:4" ht="12.75" hidden="1">
      <c r="A212" s="1" t="s">
        <v>258</v>
      </c>
      <c r="B212"/>
      <c r="C212"/>
      <c r="D212" s="1" t="s">
        <v>728</v>
      </c>
    </row>
    <row r="213" spans="1:4" ht="12.75" hidden="1">
      <c r="A213" s="1" t="s">
        <v>293</v>
      </c>
      <c r="B213"/>
      <c r="C213"/>
      <c r="D213" s="1" t="s">
        <v>303</v>
      </c>
    </row>
    <row r="214" spans="1:4" ht="12.75" hidden="1">
      <c r="A214" s="1" t="s">
        <v>775</v>
      </c>
      <c r="B214"/>
      <c r="C214"/>
      <c r="D214" s="1" t="s">
        <v>758</v>
      </c>
    </row>
    <row r="215" spans="1:4" ht="12.75" hidden="1">
      <c r="A215" s="1" t="s">
        <v>294</v>
      </c>
      <c r="B215"/>
      <c r="C215"/>
      <c r="D215" s="1" t="s">
        <v>748</v>
      </c>
    </row>
    <row r="216" spans="1:4" ht="12.75" hidden="1">
      <c r="A216" s="1" t="s">
        <v>295</v>
      </c>
      <c r="B216"/>
      <c r="C216"/>
      <c r="D216" s="1" t="s">
        <v>2</v>
      </c>
    </row>
    <row r="217" spans="1:4" ht="12.75" hidden="1">
      <c r="A217" s="1" t="s">
        <v>838</v>
      </c>
      <c r="B217"/>
      <c r="C217"/>
      <c r="D217" s="1" t="s">
        <v>308</v>
      </c>
    </row>
    <row r="218" spans="1:4" ht="12.75" hidden="1">
      <c r="A218" s="1" t="s">
        <v>905</v>
      </c>
      <c r="B218"/>
      <c r="C218"/>
      <c r="D218" s="1" t="s">
        <v>7</v>
      </c>
    </row>
    <row r="219" spans="1:4" ht="12.75" hidden="1">
      <c r="A219" s="1" t="s">
        <v>906</v>
      </c>
      <c r="B219"/>
      <c r="C219" s="128"/>
      <c r="D219" s="1" t="s">
        <v>301</v>
      </c>
    </row>
    <row r="220" spans="1:4" ht="12.75" hidden="1">
      <c r="A220" s="1" t="s">
        <v>635</v>
      </c>
      <c r="B220"/>
      <c r="C220"/>
      <c r="D220" s="1" t="s">
        <v>25</v>
      </c>
    </row>
    <row r="221" spans="1:4" ht="12.75" hidden="1">
      <c r="A221" s="1" t="s">
        <v>907</v>
      </c>
      <c r="B221"/>
      <c r="C221"/>
      <c r="D221" s="1" t="s">
        <v>27</v>
      </c>
    </row>
    <row r="222" spans="1:4" ht="12.75" hidden="1">
      <c r="A222" s="1" t="s">
        <v>296</v>
      </c>
      <c r="B222"/>
      <c r="C222"/>
      <c r="D222" s="1" t="s">
        <v>847</v>
      </c>
    </row>
    <row r="223" spans="1:4" ht="12.75" hidden="1">
      <c r="A223" s="1" t="s">
        <v>776</v>
      </c>
      <c r="B223"/>
      <c r="C223"/>
      <c r="D223" s="1" t="s">
        <v>9</v>
      </c>
    </row>
    <row r="224" spans="1:4" ht="12.75" hidden="1">
      <c r="A224" s="1" t="s">
        <v>297</v>
      </c>
      <c r="B224"/>
      <c r="C224"/>
      <c r="D224" s="1" t="s">
        <v>24</v>
      </c>
    </row>
    <row r="225" spans="1:4" ht="12.75" hidden="1">
      <c r="A225" s="1" t="s">
        <v>298</v>
      </c>
      <c r="B225"/>
      <c r="C225"/>
      <c r="D225" s="1" t="s">
        <v>759</v>
      </c>
    </row>
    <row r="226" spans="1:4" ht="12.75" hidden="1">
      <c r="A226" s="1" t="s">
        <v>299</v>
      </c>
      <c r="B226"/>
      <c r="C226"/>
      <c r="D226" s="1" t="s">
        <v>729</v>
      </c>
    </row>
    <row r="227" spans="1:4" ht="12.75" hidden="1">
      <c r="A227" s="1" t="s">
        <v>710</v>
      </c>
      <c r="B227"/>
      <c r="C227"/>
      <c r="D227" s="1" t="s">
        <v>862</v>
      </c>
    </row>
    <row r="228" spans="1:4" ht="12.75" hidden="1">
      <c r="A228" s="1" t="s">
        <v>259</v>
      </c>
      <c r="B228"/>
      <c r="C228"/>
      <c r="D228" s="1" t="s">
        <v>306</v>
      </c>
    </row>
    <row r="229" spans="1:4" ht="12.75" hidden="1">
      <c r="A229" s="1" t="s">
        <v>300</v>
      </c>
      <c r="B229"/>
      <c r="C229"/>
      <c r="D229" s="1" t="s">
        <v>863</v>
      </c>
    </row>
    <row r="230" spans="1:4" ht="12.75" hidden="1">
      <c r="A230" s="1" t="s">
        <v>276</v>
      </c>
      <c r="B230"/>
      <c r="D230" s="1" t="s">
        <v>625</v>
      </c>
    </row>
    <row r="231" spans="1:4" hidden="1">
      <c r="A231" s="1" t="s">
        <v>277</v>
      </c>
      <c r="D231" s="1" t="s">
        <v>302</v>
      </c>
    </row>
    <row r="232" spans="1:4" hidden="1">
      <c r="D232" s="1" t="s">
        <v>842</v>
      </c>
    </row>
    <row r="233" spans="1:4" hidden="1">
      <c r="D233" s="1" t="s">
        <v>4</v>
      </c>
    </row>
    <row r="234" spans="1:4" hidden="1">
      <c r="D234" s="1" t="s">
        <v>12</v>
      </c>
    </row>
    <row r="235" spans="1:4" hidden="1">
      <c r="D235" s="1" t="s">
        <v>947</v>
      </c>
    </row>
    <row r="236" spans="1:4" hidden="1">
      <c r="D236" s="1" t="s">
        <v>311</v>
      </c>
    </row>
    <row r="237" spans="1:4" hidden="1">
      <c r="D237" s="1" t="s">
        <v>584</v>
      </c>
    </row>
    <row r="238" spans="1:4" hidden="1">
      <c r="D238" s="1" t="s">
        <v>742</v>
      </c>
    </row>
    <row r="239" spans="1:4" hidden="1">
      <c r="D239" s="1" t="s">
        <v>898</v>
      </c>
    </row>
    <row r="240" spans="1:4" hidden="1">
      <c r="D240" s="1" t="s">
        <v>864</v>
      </c>
    </row>
    <row r="241" spans="4:4" hidden="1">
      <c r="D241" s="1" t="s">
        <v>334</v>
      </c>
    </row>
    <row r="242" spans="4:4" hidden="1">
      <c r="D242" s="1" t="s">
        <v>342</v>
      </c>
    </row>
    <row r="243" spans="4:4" hidden="1">
      <c r="D243" s="1" t="s">
        <v>341</v>
      </c>
    </row>
    <row r="244" spans="4:4" hidden="1">
      <c r="D244" s="1" t="s">
        <v>337</v>
      </c>
    </row>
    <row r="245" spans="4:4" hidden="1">
      <c r="D245" s="1" t="s">
        <v>340</v>
      </c>
    </row>
    <row r="246" spans="4:4" hidden="1">
      <c r="D246" s="1" t="s">
        <v>339</v>
      </c>
    </row>
    <row r="247" spans="4:4" hidden="1">
      <c r="D247" s="1" t="s">
        <v>865</v>
      </c>
    </row>
    <row r="248" spans="4:4" hidden="1">
      <c r="D248" s="1" t="s">
        <v>911</v>
      </c>
    </row>
    <row r="249" spans="4:4" hidden="1">
      <c r="D249" s="1" t="s">
        <v>912</v>
      </c>
    </row>
    <row r="250" spans="4:4" hidden="1">
      <c r="D250" s="1" t="s">
        <v>331</v>
      </c>
    </row>
    <row r="251" spans="4:4" hidden="1">
      <c r="D251" s="1" t="s">
        <v>338</v>
      </c>
    </row>
    <row r="252" spans="4:4" hidden="1">
      <c r="D252" s="1" t="s">
        <v>585</v>
      </c>
    </row>
    <row r="253" spans="4:4" hidden="1">
      <c r="D253" s="1" t="s">
        <v>726</v>
      </c>
    </row>
    <row r="254" spans="4:4" hidden="1">
      <c r="D254" s="1" t="s">
        <v>763</v>
      </c>
    </row>
    <row r="255" spans="4:4" hidden="1">
      <c r="D255" s="1" t="s">
        <v>332</v>
      </c>
    </row>
    <row r="256" spans="4:4" hidden="1">
      <c r="D256" s="1" t="s">
        <v>743</v>
      </c>
    </row>
    <row r="257" spans="4:4" hidden="1">
      <c r="D257" s="1" t="s">
        <v>305</v>
      </c>
    </row>
    <row r="258" spans="4:4" hidden="1">
      <c r="D258" s="1" t="s">
        <v>344</v>
      </c>
    </row>
    <row r="259" spans="4:4" hidden="1">
      <c r="D259" s="1" t="s">
        <v>319</v>
      </c>
    </row>
    <row r="260" spans="4:4" hidden="1">
      <c r="D260" s="1" t="s">
        <v>324</v>
      </c>
    </row>
    <row r="261" spans="4:4" hidden="1">
      <c r="D261" s="1" t="s">
        <v>762</v>
      </c>
    </row>
    <row r="262" spans="4:4" hidden="1">
      <c r="D262" s="1" t="s">
        <v>752</v>
      </c>
    </row>
    <row r="263" spans="4:4" hidden="1">
      <c r="D263" s="1" t="s">
        <v>859</v>
      </c>
    </row>
    <row r="264" spans="4:4" hidden="1">
      <c r="D264" s="1" t="s">
        <v>304</v>
      </c>
    </row>
    <row r="265" spans="4:4" hidden="1">
      <c r="D265" s="1" t="s">
        <v>333</v>
      </c>
    </row>
    <row r="266" spans="4:4" hidden="1">
      <c r="D266" s="1" t="s">
        <v>320</v>
      </c>
    </row>
    <row r="267" spans="4:4" hidden="1">
      <c r="D267" s="1" t="s">
        <v>727</v>
      </c>
    </row>
    <row r="268" spans="4:4" hidden="1">
      <c r="D268" s="1" t="s">
        <v>20</v>
      </c>
    </row>
    <row r="269" spans="4:4" hidden="1">
      <c r="D269" s="1" t="s">
        <v>761</v>
      </c>
    </row>
    <row r="270" spans="4:4" hidden="1">
      <c r="D270" s="1" t="s">
        <v>15</v>
      </c>
    </row>
    <row r="271" spans="4:4" hidden="1">
      <c r="D271" s="1" t="s">
        <v>328</v>
      </c>
    </row>
    <row r="272" spans="4:4" hidden="1">
      <c r="D272" s="1" t="s">
        <v>336</v>
      </c>
    </row>
    <row r="273" spans="4:4" hidden="1">
      <c r="D273" s="1" t="s">
        <v>756</v>
      </c>
    </row>
    <row r="274" spans="4:4" hidden="1">
      <c r="D274" s="1" t="s">
        <v>21</v>
      </c>
    </row>
    <row r="275" spans="4:4" hidden="1">
      <c r="D275" s="1" t="s">
        <v>317</v>
      </c>
    </row>
    <row r="276" spans="4:4" hidden="1">
      <c r="D276" s="1" t="s">
        <v>636</v>
      </c>
    </row>
    <row r="277" spans="4:4" hidden="1">
      <c r="D277" s="1" t="s">
        <v>733</v>
      </c>
    </row>
    <row r="278" spans="4:4" hidden="1">
      <c r="D278" s="1" t="s">
        <v>1</v>
      </c>
    </row>
    <row r="279" spans="4:4" hidden="1">
      <c r="D279" s="1" t="s">
        <v>28</v>
      </c>
    </row>
    <row r="280" spans="4:4" hidden="1">
      <c r="D280" s="1" t="s">
        <v>5</v>
      </c>
    </row>
    <row r="281" spans="4:4" hidden="1">
      <c r="D281" s="1" t="s">
        <v>745</v>
      </c>
    </row>
    <row r="282" spans="4:4" hidden="1">
      <c r="D282" s="1" t="s">
        <v>327</v>
      </c>
    </row>
    <row r="283" spans="4:4" hidden="1">
      <c r="D283" s="1" t="s">
        <v>740</v>
      </c>
    </row>
    <row r="284" spans="4:4" hidden="1">
      <c r="D284" s="1" t="s">
        <v>310</v>
      </c>
    </row>
    <row r="285" spans="4:4" hidden="1">
      <c r="D285" s="1" t="s">
        <v>731</v>
      </c>
    </row>
    <row r="286" spans="4:4" hidden="1">
      <c r="D286" s="1" t="s">
        <v>735</v>
      </c>
    </row>
    <row r="287" spans="4:4" hidden="1">
      <c r="D287" s="1" t="s">
        <v>760</v>
      </c>
    </row>
    <row r="288" spans="4:4" hidden="1">
      <c r="D288" s="1" t="s">
        <v>3</v>
      </c>
    </row>
    <row r="289" spans="4:4" hidden="1">
      <c r="D289" s="1" t="s">
        <v>637</v>
      </c>
    </row>
  </sheetData>
  <sheetProtection algorithmName="SHA-512" hashValue="rTHALzRYYPYJbC8IvYoDjK4jK5k7jt+K2wsSmydQVCMyki+3Bo/QVxNWFuJ4yOljREfveSLrXcpcLM2n1FgMdg==" saltValue="mSjSDpkktVQoV8q74pkVSg==" spinCount="100000" sheet="1" objects="1" scenarios="1"/>
  <sortState xmlns:xlrd2="http://schemas.microsoft.com/office/spreadsheetml/2017/richdata2" ref="A139:A231">
    <sortCondition ref="A139:A231"/>
  </sortState>
  <customSheetViews>
    <customSheetView guid="{21549FED-0843-409C-B56D-2EB16B98EF5E}" showGridLines="0" hiddenRows="1">
      <selection activeCell="B3" sqref="B3:E3"/>
      <rowBreaks count="1" manualBreakCount="1">
        <brk id="65" max="16383" man="1"/>
      </rowBreaks>
      <pageMargins left="0.5" right="0.25" top="0.86" bottom="1" header="0.28999999999999998" footer="0.5"/>
      <pageSetup scale="70" orientation="portrait" cellComments="asDisplayed" r:id="rId1"/>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83B11BDE-9087-4120-8F71-87939A6C277C}" showPageBreaks="1" showGridLines="0" printArea="1" hiddenRows="1">
      <selection activeCell="H22" sqref="H22"/>
      <rowBreaks count="1" manualBreakCount="1">
        <brk id="65" max="16383" man="1"/>
      </rowBreaks>
      <pageMargins left="0.5" right="0.25" top="0.86" bottom="1" header="0.28999999999999998" footer="0.5"/>
      <pageSetup scale="70" orientation="portrait" cellComments="asDisplayed" r:id="rId2"/>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5A69DEB5-9E8B-40C6-849E-49B804F6ED86}" showGridLines="0" hiddenRows="1">
      <selection activeCell="C31" sqref="C31"/>
      <rowBreaks count="1" manualBreakCount="1">
        <brk id="65" max="16383" man="1"/>
      </rowBreaks>
      <pageMargins left="0.5" right="0.25" top="0.86" bottom="1" header="0.28999999999999998" footer="0.5"/>
      <pageSetup scale="70" orientation="portrait" cellComments="asDisplayed" r:id="rId3"/>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C3905544-E3E5-4318-8AA2-F7DE16A9B8E7}" showGridLines="0" hiddenRows="1">
      <selection activeCell="H22" sqref="H22"/>
      <rowBreaks count="1" manualBreakCount="1">
        <brk id="65" max="16383" man="1"/>
      </rowBreaks>
      <pageMargins left="0.5" right="0.25" top="0.86" bottom="1" header="0.28999999999999998" footer="0.5"/>
      <pageSetup scale="70" orientation="portrait" cellComments="asDisplayed" r:id="rId4"/>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s>
  <mergeCells count="45">
    <mergeCell ref="B78:C78"/>
    <mergeCell ref="B89:F89"/>
    <mergeCell ref="B88:F88"/>
    <mergeCell ref="B87:F87"/>
    <mergeCell ref="B131:F131"/>
    <mergeCell ref="B120:F120"/>
    <mergeCell ref="B121:F121"/>
    <mergeCell ref="B126:F126"/>
    <mergeCell ref="B115:F115"/>
    <mergeCell ref="B116:F116"/>
    <mergeCell ref="B117:F117"/>
    <mergeCell ref="B118:F118"/>
    <mergeCell ref="B102:F102"/>
    <mergeCell ref="B103:F103"/>
    <mergeCell ref="B104:F104"/>
    <mergeCell ref="B105:F105"/>
    <mergeCell ref="B119:F119"/>
    <mergeCell ref="B132:F132"/>
    <mergeCell ref="B133:F133"/>
    <mergeCell ref="B134:F134"/>
    <mergeCell ref="B127:F127"/>
    <mergeCell ref="B128:F128"/>
    <mergeCell ref="B129:F129"/>
    <mergeCell ref="B130:F130"/>
    <mergeCell ref="B106:F106"/>
    <mergeCell ref="B107:F107"/>
    <mergeCell ref="B108:F108"/>
    <mergeCell ref="B114:F114"/>
    <mergeCell ref="B113:F113"/>
    <mergeCell ref="B100:F100"/>
    <mergeCell ref="B101:F101"/>
    <mergeCell ref="B90:F90"/>
    <mergeCell ref="B91:F91"/>
    <mergeCell ref="B92:F92"/>
    <mergeCell ref="B93:F93"/>
    <mergeCell ref="B94:F94"/>
    <mergeCell ref="B95:F95"/>
    <mergeCell ref="G52:H52"/>
    <mergeCell ref="B1:E1"/>
    <mergeCell ref="B2:E2"/>
    <mergeCell ref="B3:E3"/>
    <mergeCell ref="B4:E4"/>
    <mergeCell ref="B5:E5"/>
    <mergeCell ref="B6:E6"/>
    <mergeCell ref="B45:C45"/>
  </mergeCells>
  <phoneticPr fontId="26" type="noConversion"/>
  <conditionalFormatting sqref="G25">
    <cfRule type="cellIs" dxfId="29" priority="2" operator="equal">
      <formula>"Answer Required"</formula>
    </cfRule>
  </conditionalFormatting>
  <conditionalFormatting sqref="G73">
    <cfRule type="cellIs" dxfId="28" priority="1" operator="equal">
      <formula>"Answer Required"</formula>
    </cfRule>
  </conditionalFormatting>
  <dataValidations count="7">
    <dataValidation type="whole" allowBlank="1" showInputMessage="1" showErrorMessage="1" error="Enter a whole number." sqref="G88:G95 D39:E43 D21:E25 G101:G108 G127:G134 G114:G121 D69:E73" xr:uid="{00000000-0002-0000-0500-000000000000}">
      <formula1>-9999999999999</formula1>
      <formula2>9999999999999</formula2>
    </dataValidation>
    <dataValidation type="whole" allowBlank="1" showInputMessage="1" showErrorMessage="1" error="Enter a positive whole number." sqref="D54:D56" xr:uid="{00000000-0002-0000-0500-000001000000}">
      <formula1>0</formula1>
      <formula2>999999999999</formula2>
    </dataValidation>
    <dataValidation type="whole" allowBlank="1" showInputMessage="1" showErrorMessage="1" error="Enter a negative whole number." sqref="D30:E34" xr:uid="{00000000-0002-0000-0500-000002000000}">
      <formula1>-999999999999999000000</formula1>
      <formula2>-1</formula2>
    </dataValidation>
    <dataValidation type="whole" allowBlank="1" showInputMessage="1" showErrorMessage="1" error="Enter a negative whole number" sqref="D29:E29 E57:E58 D76:E76" xr:uid="{00000000-0002-0000-0500-000003000000}">
      <formula1>-9999999999999</formula1>
      <formula2>0</formula2>
    </dataValidation>
    <dataValidation type="whole" allowBlank="1" showInputMessage="1" showErrorMessage="1" error="Enter a whole number" sqref="E54:E56" xr:uid="{00000000-0002-0000-0500-000004000000}">
      <formula1>-9999999999999</formula1>
      <formula2>9999999999999</formula2>
    </dataValidation>
    <dataValidation type="list" allowBlank="1" showErrorMessage="1" error="Use drop-down list to select Component Unit" sqref="A127:A134 A114:A121" xr:uid="{00000000-0002-0000-0500-000005000000}">
      <formula1>$A$139:$A$231</formula1>
    </dataValidation>
    <dataValidation type="list" allowBlank="1" showErrorMessage="1" error="Please use drop-down list to select Primary Government Name" sqref="A88:A95 A101:A108" xr:uid="{00000000-0002-0000-0500-000006000000}">
      <formula1>$D$139:$D$289</formula1>
    </dataValidation>
  </dataValidations>
  <pageMargins left="0.75" right="0.25" top="0.86" bottom="1" header="0.28999999999999998" footer="0.5"/>
  <pageSetup scale="68" orientation="portrait" cellComments="asDisplayed" r:id="rId5"/>
  <headerFooter alignWithMargins="0">
    <oddHeader>&amp;C&amp;"Times New Roman,Bold"Attachment CU4 - FASB Foundations
Financial Statement Template (FST)
&amp;A</oddHeader>
    <oddFooter>&amp;L&amp;"Times New Roman,Regular"&amp;F \ &amp;A&amp;RPage &amp;P</oddFooter>
  </headerFooter>
  <rowBreaks count="1" manualBreakCount="1">
    <brk id="83" max="16383" man="1"/>
  </rowBreaks>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84"/>
  <sheetViews>
    <sheetView showGridLines="0" zoomScaleNormal="100" zoomScaleSheetLayoutView="100" workbookViewId="0">
      <selection activeCell="B3" sqref="B3:G3"/>
    </sheetView>
  </sheetViews>
  <sheetFormatPr defaultColWidth="8.85546875" defaultRowHeight="11.25"/>
  <cols>
    <col min="1" max="1" width="32.42578125" style="1" customWidth="1"/>
    <col min="2" max="2" width="8.85546875" style="1" customWidth="1"/>
    <col min="3" max="3" width="2.85546875" style="1" customWidth="1"/>
    <col min="4" max="4" width="18.28515625" style="1" customWidth="1"/>
    <col min="5" max="6" width="2.140625" style="1" customWidth="1"/>
    <col min="7" max="7" width="16.42578125" style="1" customWidth="1"/>
    <col min="8" max="8" width="1.7109375" style="1" customWidth="1"/>
    <col min="9" max="9" width="2" style="1" customWidth="1"/>
    <col min="10" max="10" width="17.140625" style="1" customWidth="1"/>
    <col min="11" max="11" width="1.42578125" style="1" customWidth="1"/>
    <col min="12" max="12" width="2.5703125" style="1" customWidth="1"/>
    <col min="13" max="13" width="16.140625" style="1" customWidth="1"/>
    <col min="14" max="14" width="13.85546875" style="1" customWidth="1"/>
    <col min="15" max="21" width="8.85546875" style="1" customWidth="1"/>
    <col min="22" max="16384" width="8.85546875" style="1"/>
  </cols>
  <sheetData>
    <row r="1" spans="1:18">
      <c r="A1" s="12" t="s">
        <v>392</v>
      </c>
      <c r="B1" s="650" t="str">
        <f>'Component Unit Template'!G1</f>
        <v/>
      </c>
      <c r="C1" s="651"/>
      <c r="D1" s="651"/>
      <c r="E1" s="651"/>
      <c r="F1" s="651"/>
      <c r="G1" s="678"/>
    </row>
    <row r="2" spans="1:18" ht="15" customHeight="1">
      <c r="A2" s="12" t="s">
        <v>404</v>
      </c>
      <c r="B2" s="650" t="str">
        <f>IF('Component Unit Template'!G2="","",'Component Unit Template'!G2)</f>
        <v/>
      </c>
      <c r="C2" s="651"/>
      <c r="D2" s="651"/>
      <c r="E2" s="651"/>
      <c r="F2" s="651"/>
      <c r="G2" s="678"/>
    </row>
    <row r="3" spans="1:18">
      <c r="A3" s="12" t="s">
        <v>438</v>
      </c>
      <c r="B3" s="653" t="str">
        <f>IF('Component Unit Template'!G3="","",'Component Unit Template'!G3)</f>
        <v/>
      </c>
      <c r="C3" s="654"/>
      <c r="D3" s="654"/>
      <c r="E3" s="654"/>
      <c r="F3" s="654"/>
      <c r="G3" s="679"/>
    </row>
    <row r="4" spans="1:18">
      <c r="A4" s="12" t="s">
        <v>255</v>
      </c>
      <c r="B4" s="656" t="str">
        <f>IF('Component Unit Template'!G4="","",'Component Unit Template'!G4)</f>
        <v/>
      </c>
      <c r="C4" s="657"/>
      <c r="D4" s="657"/>
      <c r="E4" s="657"/>
      <c r="F4" s="657"/>
      <c r="G4" s="680"/>
    </row>
    <row r="5" spans="1:18">
      <c r="A5" s="12" t="s">
        <v>511</v>
      </c>
      <c r="B5" s="659" t="str">
        <f>IF('Component Unit Template'!G5="","",'Component Unit Template'!G5)</f>
        <v/>
      </c>
      <c r="C5" s="660"/>
      <c r="D5" s="660"/>
      <c r="E5" s="660"/>
      <c r="F5" s="660"/>
      <c r="G5" s="713"/>
    </row>
    <row r="6" spans="1:18">
      <c r="A6" s="12" t="s">
        <v>35</v>
      </c>
      <c r="B6" s="662" t="str">
        <f>IF('Component Unit Template'!G6="","",'Component Unit Template'!G6)</f>
        <v/>
      </c>
      <c r="C6" s="663"/>
      <c r="D6" s="663"/>
      <c r="E6" s="663"/>
      <c r="F6" s="663"/>
      <c r="G6" s="714"/>
    </row>
    <row r="7" spans="1:18">
      <c r="B7" s="9"/>
      <c r="C7" s="138"/>
      <c r="D7" s="138"/>
    </row>
    <row r="8" spans="1:18" hidden="1">
      <c r="B8" s="9"/>
      <c r="C8" s="138"/>
      <c r="D8" s="138"/>
    </row>
    <row r="9" spans="1:18">
      <c r="A9" s="12" t="s">
        <v>922</v>
      </c>
    </row>
    <row r="10" spans="1:18">
      <c r="A10" s="12" t="str">
        <f>'Component Unit Template'!A35</f>
        <v>For the Year Ended June 30, 2024</v>
      </c>
    </row>
    <row r="12" spans="1:18" s="115" customFormat="1" ht="12.6" customHeight="1">
      <c r="A12" s="113" t="s">
        <v>383</v>
      </c>
      <c r="E12" s="183"/>
      <c r="F12" s="184"/>
      <c r="G12" s="437"/>
      <c r="H12" s="441"/>
      <c r="I12" s="437"/>
      <c r="J12" s="437"/>
      <c r="K12" s="183"/>
      <c r="L12" s="674"/>
      <c r="M12" s="674"/>
    </row>
    <row r="13" spans="1:18" s="115" customFormat="1" ht="12.6" customHeight="1">
      <c r="C13" s="676" t="s">
        <v>498</v>
      </c>
      <c r="D13" s="676"/>
      <c r="E13" s="317"/>
      <c r="F13" s="185"/>
      <c r="G13" s="437"/>
      <c r="H13" s="441"/>
      <c r="I13" s="437"/>
      <c r="J13" s="437"/>
      <c r="K13" s="183"/>
      <c r="L13" s="676"/>
      <c r="M13" s="676"/>
    </row>
    <row r="14" spans="1:18" s="115" customFormat="1" ht="12" customHeight="1">
      <c r="C14" s="675" t="s">
        <v>939</v>
      </c>
      <c r="D14" s="675"/>
      <c r="E14" s="183"/>
      <c r="F14" s="185"/>
      <c r="G14" s="437"/>
      <c r="H14" s="441"/>
      <c r="I14" s="437"/>
      <c r="J14" s="437"/>
      <c r="K14" s="183"/>
      <c r="L14" s="677"/>
      <c r="M14" s="677"/>
      <c r="R14" s="2"/>
    </row>
    <row r="15" spans="1:18" s="2" customFormat="1" ht="12.6" customHeight="1">
      <c r="A15" s="2" t="s">
        <v>499</v>
      </c>
      <c r="D15" s="187" t="s">
        <v>254</v>
      </c>
      <c r="G15" s="434"/>
      <c r="H15" s="429"/>
      <c r="I15" s="429"/>
      <c r="J15" s="434"/>
      <c r="M15" s="88"/>
      <c r="R15" s="254"/>
    </row>
    <row r="16" spans="1:18" s="2" customFormat="1" ht="12.6" customHeight="1">
      <c r="A16" s="2" t="s">
        <v>478</v>
      </c>
      <c r="C16" s="188" t="s">
        <v>500</v>
      </c>
      <c r="D16" s="19"/>
      <c r="E16" s="189"/>
      <c r="F16" s="195"/>
      <c r="G16" s="438"/>
      <c r="H16" s="438"/>
      <c r="I16" s="438"/>
      <c r="J16" s="438"/>
      <c r="K16" s="189"/>
      <c r="L16" s="195"/>
      <c r="M16" s="195"/>
      <c r="R16" s="254"/>
    </row>
    <row r="17" spans="1:19" s="2" customFormat="1" ht="12.6" customHeight="1">
      <c r="A17" s="2" t="s">
        <v>579</v>
      </c>
      <c r="C17" s="188"/>
      <c r="D17" s="19"/>
      <c r="E17" s="189"/>
      <c r="F17" s="195"/>
      <c r="G17" s="438"/>
      <c r="H17" s="438"/>
      <c r="I17" s="438"/>
      <c r="J17" s="438"/>
      <c r="K17" s="189"/>
      <c r="L17" s="195"/>
      <c r="M17" s="195"/>
      <c r="R17" s="254"/>
    </row>
    <row r="18" spans="1:19" s="2" customFormat="1" ht="12.6" customHeight="1">
      <c r="A18" s="2" t="s">
        <v>692</v>
      </c>
      <c r="C18" s="188"/>
      <c r="D18" s="19"/>
      <c r="E18" s="189"/>
      <c r="F18" s="195"/>
      <c r="G18" s="438"/>
      <c r="H18" s="438"/>
      <c r="I18" s="438"/>
      <c r="J18" s="438"/>
      <c r="K18" s="189"/>
      <c r="L18" s="195"/>
      <c r="M18" s="195"/>
      <c r="R18" s="254"/>
    </row>
    <row r="19" spans="1:19" s="2" customFormat="1" ht="12.6" customHeight="1">
      <c r="A19" s="2" t="s">
        <v>866</v>
      </c>
      <c r="C19" s="188"/>
      <c r="D19" s="19"/>
      <c r="E19" s="189"/>
      <c r="F19" s="195"/>
      <c r="G19" s="438"/>
      <c r="H19" s="438"/>
      <c r="I19" s="438"/>
      <c r="J19" s="438"/>
      <c r="K19" s="189"/>
      <c r="L19" s="195"/>
      <c r="M19" s="195"/>
      <c r="N19" s="186"/>
      <c r="R19" s="254"/>
    </row>
    <row r="20" spans="1:19" s="2" customFormat="1" ht="11.25" customHeight="1">
      <c r="A20" s="438"/>
      <c r="C20" s="188"/>
      <c r="D20" s="258"/>
      <c r="E20" s="258"/>
      <c r="F20" s="258"/>
      <c r="H20" s="438"/>
      <c r="I20" s="438"/>
      <c r="J20" s="438"/>
      <c r="K20" s="189"/>
      <c r="L20" s="195"/>
      <c r="M20" s="195"/>
      <c r="R20" s="274"/>
    </row>
    <row r="21" spans="1:19" s="2" customFormat="1" ht="12.6" customHeight="1">
      <c r="A21" s="2" t="s">
        <v>505</v>
      </c>
      <c r="C21" s="190"/>
      <c r="D21" s="192">
        <f>IF((D16+D17+D18+D19)='Component Unit Template'!K113,SUM(D16:D19),"ERROR")</f>
        <v>0</v>
      </c>
      <c r="E21" s="189"/>
      <c r="F21" s="195"/>
      <c r="G21" s="193">
        <f>SUM(D16:D19)-'Component Unit Template'!K113</f>
        <v>0</v>
      </c>
      <c r="H21" s="438"/>
      <c r="I21" s="438"/>
      <c r="J21" s="186" t="s">
        <v>48</v>
      </c>
      <c r="K21" s="189"/>
      <c r="L21" s="195"/>
    </row>
    <row r="22" spans="1:19" s="2" customFormat="1" ht="12.6" customHeight="1">
      <c r="C22" s="188"/>
      <c r="D22" s="89"/>
      <c r="E22" s="188"/>
      <c r="F22" s="188"/>
      <c r="G22" s="439"/>
      <c r="H22" s="440"/>
      <c r="I22" s="440"/>
      <c r="J22" s="439"/>
      <c r="K22" s="188"/>
      <c r="L22" s="188"/>
      <c r="M22" s="194"/>
    </row>
    <row r="23" spans="1:19" s="2" customFormat="1" ht="12.6" customHeight="1">
      <c r="A23" s="2" t="s">
        <v>850</v>
      </c>
      <c r="C23" s="188"/>
      <c r="D23" s="187" t="s">
        <v>254</v>
      </c>
      <c r="E23" s="188"/>
      <c r="F23" s="188"/>
      <c r="G23" s="434"/>
      <c r="H23" s="440"/>
      <c r="I23" s="440"/>
      <c r="J23" s="434"/>
      <c r="K23" s="188"/>
      <c r="L23" s="188"/>
      <c r="M23" s="89"/>
    </row>
    <row r="24" spans="1:19" s="2" customFormat="1" ht="12.6" customHeight="1">
      <c r="A24" s="2" t="s">
        <v>480</v>
      </c>
      <c r="C24" s="188"/>
      <c r="D24" s="19"/>
      <c r="E24" s="189"/>
      <c r="F24" s="195"/>
      <c r="G24" s="438"/>
      <c r="H24" s="438"/>
      <c r="I24" s="438"/>
      <c r="J24" s="438"/>
      <c r="K24" s="189"/>
      <c r="L24" s="195"/>
      <c r="M24" s="195"/>
      <c r="R24" s="254"/>
    </row>
    <row r="25" spans="1:19" s="2" customFormat="1" ht="12.6" customHeight="1">
      <c r="A25" s="2" t="s">
        <v>457</v>
      </c>
      <c r="C25" s="188"/>
      <c r="D25" s="19"/>
      <c r="E25" s="189"/>
      <c r="F25" s="195"/>
      <c r="G25" s="438"/>
      <c r="H25" s="438"/>
      <c r="I25" s="438"/>
      <c r="J25" s="438"/>
      <c r="K25" s="189"/>
      <c r="L25" s="195"/>
      <c r="M25" s="195"/>
      <c r="R25" s="254"/>
      <c r="S25" s="27"/>
    </row>
    <row r="26" spans="1:19" s="2" customFormat="1" ht="12.6" customHeight="1">
      <c r="A26" s="2" t="s">
        <v>482</v>
      </c>
      <c r="C26" s="188"/>
      <c r="D26" s="19"/>
      <c r="E26" s="189"/>
      <c r="F26" s="195"/>
      <c r="G26" s="438"/>
      <c r="H26" s="438"/>
      <c r="I26" s="438"/>
      <c r="J26" s="438"/>
      <c r="K26" s="189"/>
      <c r="L26" s="195"/>
      <c r="M26" s="195"/>
      <c r="R26" s="254"/>
      <c r="S26" s="27"/>
    </row>
    <row r="27" spans="1:19" s="2" customFormat="1" ht="12.6" customHeight="1">
      <c r="A27" s="2" t="s">
        <v>483</v>
      </c>
      <c r="C27" s="188"/>
      <c r="D27" s="19"/>
      <c r="E27" s="189"/>
      <c r="F27" s="195"/>
      <c r="G27" s="438"/>
      <c r="H27" s="438"/>
      <c r="I27" s="438"/>
      <c r="J27" s="438"/>
      <c r="K27" s="195"/>
      <c r="L27" s="195"/>
      <c r="M27" s="195"/>
      <c r="R27" s="254"/>
      <c r="S27" s="27"/>
    </row>
    <row r="28" spans="1:19" s="2" customFormat="1" ht="12.6" customHeight="1">
      <c r="A28" s="7" t="s">
        <v>456</v>
      </c>
      <c r="C28" s="188"/>
      <c r="D28" s="19"/>
      <c r="E28" s="189"/>
      <c r="F28" s="195"/>
      <c r="G28" s="438"/>
      <c r="H28" s="438"/>
      <c r="I28" s="438"/>
      <c r="J28" s="438"/>
      <c r="K28" s="195"/>
      <c r="L28" s="195"/>
      <c r="M28" s="195"/>
      <c r="R28" s="254"/>
      <c r="S28" s="27"/>
    </row>
    <row r="29" spans="1:19" s="2" customFormat="1" ht="3" customHeight="1">
      <c r="A29" s="438"/>
      <c r="C29" s="188"/>
      <c r="D29" s="261"/>
      <c r="E29" s="258"/>
      <c r="F29" s="258"/>
      <c r="G29" s="438"/>
      <c r="H29" s="438"/>
      <c r="I29" s="438"/>
      <c r="J29" s="438"/>
      <c r="K29" s="258"/>
      <c r="L29" s="258"/>
      <c r="M29" s="258"/>
      <c r="R29" s="274"/>
    </row>
    <row r="30" spans="1:19" s="2" customFormat="1" ht="12.6" customHeight="1">
      <c r="A30" s="2" t="s">
        <v>851</v>
      </c>
      <c r="C30" s="190"/>
      <c r="D30" s="191">
        <f>SUM(D24:D28)</f>
        <v>0</v>
      </c>
      <c r="E30" s="189"/>
      <c r="F30" s="195"/>
      <c r="G30" s="438"/>
      <c r="H30" s="438"/>
      <c r="I30" s="438"/>
      <c r="J30" s="438"/>
      <c r="K30" s="189"/>
      <c r="L30" s="195"/>
      <c r="M30" s="195"/>
    </row>
    <row r="31" spans="1:19" s="2" customFormat="1" ht="12.6" customHeight="1">
      <c r="A31" s="6"/>
      <c r="D31" s="159"/>
      <c r="G31" s="435"/>
      <c r="H31" s="429"/>
      <c r="I31" s="429"/>
      <c r="J31" s="435"/>
      <c r="M31" s="88"/>
      <c r="R31" s="254"/>
    </row>
    <row r="32" spans="1:19" s="2" customFormat="1" ht="12.6" customHeight="1">
      <c r="A32" s="7" t="s">
        <v>510</v>
      </c>
      <c r="D32" s="187" t="s">
        <v>254</v>
      </c>
      <c r="G32" s="434"/>
      <c r="H32" s="429"/>
      <c r="I32" s="429"/>
      <c r="J32" s="434"/>
      <c r="M32" s="88"/>
    </row>
    <row r="33" spans="1:18" s="2" customFormat="1" ht="12.6" customHeight="1">
      <c r="A33" s="2" t="s">
        <v>480</v>
      </c>
      <c r="D33" s="19"/>
      <c r="G33" s="442"/>
      <c r="H33" s="429"/>
      <c r="I33" s="429"/>
      <c r="J33" s="442"/>
      <c r="M33" s="195"/>
      <c r="R33" s="7"/>
    </row>
    <row r="34" spans="1:18" s="2" customFormat="1" ht="12.6" customHeight="1">
      <c r="A34" s="2" t="s">
        <v>457</v>
      </c>
      <c r="D34" s="19"/>
      <c r="G34" s="442"/>
      <c r="H34" s="429"/>
      <c r="I34" s="429"/>
      <c r="J34" s="442"/>
      <c r="M34" s="195"/>
    </row>
    <row r="35" spans="1:18" s="2" customFormat="1" ht="12.6" customHeight="1">
      <c r="A35" s="2" t="s">
        <v>482</v>
      </c>
      <c r="D35" s="19"/>
      <c r="G35" s="442"/>
      <c r="H35" s="429"/>
      <c r="I35" s="429"/>
      <c r="J35" s="442"/>
      <c r="M35" s="195"/>
    </row>
    <row r="36" spans="1:18" s="2" customFormat="1" ht="12.6" customHeight="1">
      <c r="A36" s="2" t="s">
        <v>483</v>
      </c>
      <c r="D36" s="19"/>
      <c r="G36" s="442"/>
      <c r="H36" s="429"/>
      <c r="I36" s="429"/>
      <c r="J36" s="442"/>
      <c r="M36" s="195"/>
    </row>
    <row r="37" spans="1:18" s="2" customFormat="1" ht="12.6" customHeight="1">
      <c r="A37" s="7" t="s">
        <v>456</v>
      </c>
      <c r="D37" s="19"/>
      <c r="G37" s="442"/>
      <c r="H37" s="429"/>
      <c r="I37" s="429"/>
      <c r="J37" s="442"/>
      <c r="M37" s="195"/>
      <c r="R37" s="254"/>
    </row>
    <row r="38" spans="1:18" s="2" customFormat="1" ht="3" customHeight="1">
      <c r="A38" s="438"/>
      <c r="C38" s="188"/>
      <c r="D38" s="261"/>
      <c r="E38" s="258"/>
      <c r="F38" s="258"/>
      <c r="G38" s="438"/>
      <c r="H38" s="438"/>
      <c r="I38" s="438"/>
      <c r="J38" s="438"/>
      <c r="K38" s="258"/>
      <c r="L38" s="258"/>
      <c r="M38" s="258"/>
      <c r="R38" s="274"/>
    </row>
    <row r="39" spans="1:18" s="2" customFormat="1" ht="12.6" customHeight="1">
      <c r="A39" s="2" t="s">
        <v>142</v>
      </c>
      <c r="C39" s="190"/>
      <c r="D39" s="191">
        <f>SUM(D33:D37)</f>
        <v>0</v>
      </c>
      <c r="E39" s="189"/>
      <c r="F39" s="195"/>
      <c r="H39" s="438"/>
      <c r="I39" s="438"/>
      <c r="K39" s="189"/>
      <c r="L39" s="195"/>
      <c r="M39" s="195"/>
      <c r="N39" s="186"/>
      <c r="R39" s="274"/>
    </row>
    <row r="40" spans="1:18" s="2" customFormat="1" ht="12.6" customHeight="1">
      <c r="A40" s="2" t="s">
        <v>143</v>
      </c>
      <c r="D40" s="159"/>
      <c r="G40" s="435"/>
      <c r="H40" s="429"/>
      <c r="I40" s="429"/>
      <c r="J40" s="435"/>
      <c r="M40" s="88"/>
    </row>
    <row r="41" spans="1:18" s="2" customFormat="1" ht="12.6" customHeight="1">
      <c r="A41" s="2" t="s">
        <v>852</v>
      </c>
      <c r="C41" s="196"/>
      <c r="D41" s="192">
        <f>IF((D30-D39)='Component Unit Template'!K115,SUM(D30-D39),"ERROR")</f>
        <v>0</v>
      </c>
      <c r="G41" s="193">
        <f>(SUM(D30-D39))-'Component Unit Template'!K115</f>
        <v>0</v>
      </c>
      <c r="H41" s="429"/>
      <c r="I41" s="429"/>
      <c r="J41" s="186" t="s">
        <v>48</v>
      </c>
    </row>
    <row r="42" spans="1:18" s="2" customFormat="1" ht="12.6" customHeight="1">
      <c r="D42" s="159"/>
      <c r="G42" s="435"/>
      <c r="H42" s="429"/>
      <c r="I42" s="429"/>
      <c r="J42" s="435"/>
      <c r="M42" s="194"/>
    </row>
    <row r="43" spans="1:18" s="2" customFormat="1" ht="12.6" customHeight="1" thickBot="1">
      <c r="A43" s="2" t="s">
        <v>145</v>
      </c>
      <c r="C43" s="197" t="s">
        <v>500</v>
      </c>
      <c r="D43" s="198">
        <f>SUM(D21,D41)</f>
        <v>0</v>
      </c>
      <c r="G43" s="431"/>
      <c r="H43" s="429"/>
      <c r="I43" s="429"/>
      <c r="J43" s="431"/>
      <c r="M43" s="257"/>
    </row>
    <row r="44" spans="1:18" s="2" customFormat="1" ht="12.6" customHeight="1" thickTop="1">
      <c r="D44" s="159"/>
      <c r="G44" s="431"/>
      <c r="H44" s="429"/>
      <c r="I44" s="429"/>
      <c r="J44" s="435"/>
      <c r="M44" s="88"/>
    </row>
    <row r="45" spans="1:18" s="2" customFormat="1" ht="12.6" customHeight="1">
      <c r="A45" s="87"/>
      <c r="D45" s="159"/>
      <c r="G45" s="435"/>
      <c r="H45" s="429"/>
      <c r="I45" s="429"/>
      <c r="J45" s="435"/>
      <c r="M45" s="159"/>
    </row>
    <row r="46" spans="1:18" s="2" customFormat="1" ht="12.6" customHeight="1">
      <c r="D46" s="159"/>
      <c r="G46" s="159"/>
      <c r="J46" s="159"/>
      <c r="M46" s="159"/>
    </row>
    <row r="47" spans="1:18" s="2" customFormat="1" ht="12.6" customHeight="1">
      <c r="D47" s="187"/>
      <c r="G47" s="187"/>
      <c r="J47" s="159"/>
      <c r="M47" s="159"/>
    </row>
    <row r="48" spans="1:18" s="2" customFormat="1" ht="12.6" customHeight="1">
      <c r="A48" s="429"/>
      <c r="B48" s="429"/>
      <c r="C48" s="429"/>
      <c r="D48" s="433"/>
      <c r="E48" s="429"/>
      <c r="F48" s="429"/>
      <c r="G48" s="434"/>
      <c r="H48" s="429"/>
      <c r="I48" s="429"/>
      <c r="J48" s="434"/>
      <c r="K48" s="429"/>
      <c r="L48" s="429"/>
      <c r="M48" s="435"/>
    </row>
    <row r="49" spans="1:13" s="2" customFormat="1" ht="12.6" customHeight="1">
      <c r="A49" s="429"/>
      <c r="B49" s="429"/>
      <c r="C49" s="429"/>
      <c r="D49" s="434"/>
      <c r="E49" s="429"/>
      <c r="F49" s="429"/>
      <c r="G49" s="434"/>
      <c r="H49" s="429"/>
      <c r="I49" s="429"/>
      <c r="J49" s="434"/>
      <c r="K49" s="429"/>
      <c r="L49" s="429"/>
      <c r="M49" s="435"/>
    </row>
    <row r="50" spans="1:13" s="2" customFormat="1" ht="12.6" customHeight="1">
      <c r="A50" s="429"/>
      <c r="B50" s="429"/>
      <c r="C50" s="429"/>
      <c r="D50" s="435"/>
      <c r="E50" s="429"/>
      <c r="F50" s="429"/>
      <c r="G50" s="435"/>
      <c r="H50" s="429"/>
      <c r="I50" s="429"/>
      <c r="J50" s="435"/>
      <c r="K50" s="429"/>
      <c r="L50" s="429"/>
      <c r="M50" s="435"/>
    </row>
    <row r="51" spans="1:13" s="2" customFormat="1" ht="12.6" customHeight="1">
      <c r="A51" s="429"/>
      <c r="B51" s="429"/>
      <c r="C51" s="429"/>
      <c r="D51" s="431"/>
      <c r="E51" s="429"/>
      <c r="F51" s="429"/>
      <c r="G51" s="431"/>
      <c r="H51" s="429"/>
      <c r="I51" s="429"/>
      <c r="J51" s="431"/>
      <c r="K51" s="429"/>
      <c r="L51" s="429"/>
      <c r="M51" s="435"/>
    </row>
    <row r="52" spans="1:13" s="2" customFormat="1" ht="12.6" customHeight="1">
      <c r="A52" s="429"/>
      <c r="B52" s="429"/>
      <c r="C52" s="429"/>
      <c r="D52" s="431"/>
      <c r="E52" s="429"/>
      <c r="F52" s="429"/>
      <c r="G52" s="431"/>
      <c r="H52" s="429"/>
      <c r="I52" s="429"/>
      <c r="J52" s="431"/>
      <c r="K52" s="429"/>
      <c r="L52" s="429"/>
      <c r="M52" s="435"/>
    </row>
    <row r="53" spans="1:13" s="2" customFormat="1" ht="12.6" customHeight="1">
      <c r="A53" s="429"/>
      <c r="B53" s="429"/>
      <c r="C53" s="429"/>
      <c r="D53" s="431"/>
      <c r="E53" s="429"/>
      <c r="F53" s="429"/>
      <c r="G53" s="431"/>
      <c r="H53" s="429"/>
      <c r="I53" s="429"/>
      <c r="J53" s="431"/>
      <c r="K53" s="429"/>
      <c r="L53" s="429"/>
      <c r="M53" s="435"/>
    </row>
    <row r="54" spans="1:13" s="2" customFormat="1" ht="12.6" hidden="1" customHeight="1">
      <c r="A54" s="430"/>
      <c r="B54" s="429"/>
      <c r="C54" s="429"/>
      <c r="D54" s="431"/>
      <c r="E54" s="429"/>
      <c r="F54" s="429"/>
      <c r="G54" s="431"/>
      <c r="H54" s="429"/>
      <c r="I54" s="429"/>
      <c r="J54" s="431"/>
      <c r="K54" s="429"/>
      <c r="L54" s="429"/>
      <c r="M54" s="435"/>
    </row>
    <row r="55" spans="1:13" s="2" customFormat="1" ht="24.75" customHeight="1">
      <c r="A55" s="436"/>
      <c r="B55" s="429"/>
      <c r="C55" s="429"/>
      <c r="D55" s="431"/>
      <c r="E55" s="429"/>
      <c r="F55" s="429"/>
      <c r="G55" s="431"/>
      <c r="H55" s="429"/>
      <c r="I55" s="429"/>
      <c r="J55" s="431"/>
      <c r="K55" s="429"/>
      <c r="L55" s="429"/>
      <c r="M55" s="435"/>
    </row>
    <row r="56" spans="1:13" s="2" customFormat="1" ht="12.6" customHeight="1">
      <c r="A56" s="429"/>
      <c r="B56" s="429"/>
      <c r="C56" s="429"/>
      <c r="D56" s="431"/>
      <c r="E56" s="429"/>
      <c r="F56" s="429"/>
      <c r="G56" s="431"/>
      <c r="H56" s="429"/>
      <c r="I56" s="429"/>
      <c r="J56" s="431"/>
      <c r="K56" s="429"/>
      <c r="L56" s="429"/>
      <c r="M56" s="435"/>
    </row>
    <row r="57" spans="1:13" s="2" customFormat="1" ht="12.6" customHeight="1">
      <c r="A57" s="429"/>
      <c r="B57" s="429"/>
      <c r="C57" s="429"/>
      <c r="D57" s="435"/>
      <c r="E57" s="429"/>
      <c r="F57" s="429"/>
      <c r="G57" s="435"/>
      <c r="H57" s="429"/>
      <c r="I57" s="429"/>
      <c r="J57" s="435"/>
      <c r="K57" s="429"/>
      <c r="L57" s="429"/>
      <c r="M57" s="435"/>
    </row>
    <row r="58" spans="1:13" s="2" customFormat="1" ht="12.6" customHeight="1">
      <c r="A58" s="429"/>
      <c r="B58" s="429"/>
      <c r="C58" s="429"/>
      <c r="D58" s="435"/>
      <c r="E58" s="429"/>
      <c r="F58" s="429"/>
      <c r="G58" s="435"/>
      <c r="H58" s="429"/>
      <c r="I58" s="429"/>
      <c r="J58" s="435"/>
      <c r="K58" s="429"/>
      <c r="L58" s="429"/>
      <c r="M58" s="435"/>
    </row>
    <row r="59" spans="1:13" s="2" customFormat="1" ht="12.6" customHeight="1">
      <c r="A59" s="429"/>
      <c r="B59" s="429"/>
      <c r="C59" s="429"/>
      <c r="D59" s="431"/>
      <c r="E59" s="429"/>
      <c r="F59" s="429"/>
      <c r="G59" s="431"/>
      <c r="H59" s="429"/>
      <c r="I59" s="429"/>
      <c r="J59" s="431"/>
      <c r="K59" s="429"/>
      <c r="L59" s="429"/>
      <c r="M59" s="435"/>
    </row>
    <row r="60" spans="1:13" s="2" customFormat="1" ht="12.6" customHeight="1">
      <c r="A60" s="429"/>
      <c r="B60" s="429"/>
      <c r="C60" s="429"/>
      <c r="D60" s="431"/>
      <c r="E60" s="429"/>
      <c r="F60" s="429"/>
      <c r="G60" s="431"/>
      <c r="H60" s="429"/>
      <c r="I60" s="429"/>
      <c r="J60" s="431"/>
      <c r="K60" s="429"/>
      <c r="L60" s="429"/>
      <c r="M60" s="435"/>
    </row>
    <row r="61" spans="1:13" s="2" customFormat="1" ht="12.6" customHeight="1">
      <c r="A61" s="429"/>
      <c r="B61" s="429"/>
      <c r="C61" s="429"/>
      <c r="D61" s="431"/>
      <c r="E61" s="429"/>
      <c r="F61" s="429"/>
      <c r="G61" s="431"/>
      <c r="H61" s="429"/>
      <c r="I61" s="429"/>
      <c r="J61" s="431"/>
      <c r="K61" s="429"/>
      <c r="L61" s="429"/>
      <c r="M61" s="435"/>
    </row>
    <row r="62" spans="1:13" s="2" customFormat="1" ht="12.6" customHeight="1">
      <c r="A62" s="429"/>
      <c r="B62" s="429"/>
      <c r="C62" s="429"/>
      <c r="D62" s="431"/>
      <c r="E62" s="429"/>
      <c r="F62" s="429"/>
      <c r="G62" s="431"/>
      <c r="H62" s="429"/>
      <c r="I62" s="429"/>
      <c r="J62" s="431"/>
      <c r="K62" s="429"/>
      <c r="L62" s="429"/>
      <c r="M62" s="435"/>
    </row>
    <row r="63" spans="1:13" s="2" customFormat="1" ht="12.6" customHeight="1">
      <c r="A63" s="430"/>
      <c r="B63" s="429"/>
      <c r="C63" s="429"/>
      <c r="D63" s="431"/>
      <c r="E63" s="429"/>
      <c r="F63" s="429"/>
      <c r="G63" s="431"/>
      <c r="H63" s="429"/>
      <c r="I63" s="429"/>
      <c r="J63" s="431"/>
      <c r="K63" s="429"/>
      <c r="L63" s="429"/>
      <c r="M63" s="435"/>
    </row>
    <row r="64" spans="1:13" s="2" customFormat="1" ht="12" customHeight="1">
      <c r="A64" s="430"/>
      <c r="B64" s="429"/>
      <c r="C64" s="429"/>
      <c r="D64" s="431"/>
      <c r="E64" s="429"/>
      <c r="F64" s="429"/>
      <c r="G64" s="431"/>
      <c r="H64" s="429"/>
      <c r="I64" s="429"/>
      <c r="J64" s="431"/>
      <c r="K64" s="429"/>
      <c r="L64" s="429"/>
      <c r="M64" s="435"/>
    </row>
    <row r="65" spans="1:13" s="2" customFormat="1" ht="12.6" customHeight="1">
      <c r="A65" s="429"/>
      <c r="B65" s="429"/>
      <c r="C65" s="429"/>
      <c r="D65" s="435"/>
      <c r="E65" s="429"/>
      <c r="F65" s="429"/>
      <c r="G65" s="435"/>
      <c r="H65" s="429"/>
      <c r="I65" s="429"/>
      <c r="J65" s="435"/>
      <c r="K65" s="429"/>
      <c r="L65" s="429"/>
      <c r="M65" s="435"/>
    </row>
    <row r="66" spans="1:13" s="2" customFormat="1" ht="12.6" customHeight="1">
      <c r="A66" s="429"/>
      <c r="B66" s="429"/>
      <c r="C66" s="429"/>
      <c r="D66" s="435"/>
      <c r="E66" s="429"/>
      <c r="F66" s="429"/>
      <c r="G66" s="432"/>
      <c r="H66" s="429"/>
      <c r="I66" s="429"/>
      <c r="J66" s="435"/>
      <c r="K66" s="429"/>
      <c r="L66" s="429"/>
      <c r="M66" s="435"/>
    </row>
    <row r="67" spans="1:13" s="2" customFormat="1" ht="12.6" customHeight="1">
      <c r="A67" s="705"/>
      <c r="B67" s="706"/>
      <c r="C67" s="706"/>
      <c r="D67" s="706"/>
      <c r="E67" s="706"/>
      <c r="F67" s="706"/>
      <c r="G67" s="706"/>
      <c r="H67" s="706"/>
      <c r="I67" s="706"/>
      <c r="J67" s="706"/>
      <c r="K67" s="429"/>
      <c r="L67" s="429"/>
      <c r="M67" s="435"/>
    </row>
    <row r="68" spans="1:13" s="2" customFormat="1" ht="12.6" customHeight="1">
      <c r="A68" s="706"/>
      <c r="B68" s="706"/>
      <c r="C68" s="706"/>
      <c r="D68" s="706"/>
      <c r="E68" s="706"/>
      <c r="F68" s="706"/>
      <c r="G68" s="706"/>
      <c r="H68" s="706"/>
      <c r="I68" s="706"/>
      <c r="J68" s="706"/>
      <c r="K68" s="429"/>
      <c r="L68" s="429"/>
      <c r="M68" s="432"/>
    </row>
    <row r="69" spans="1:13" s="2" customFormat="1" ht="12.6" customHeight="1">
      <c r="A69" s="706"/>
      <c r="B69" s="706"/>
      <c r="C69" s="706"/>
      <c r="D69" s="706"/>
      <c r="E69" s="706"/>
      <c r="F69" s="706"/>
      <c r="G69" s="706"/>
      <c r="H69" s="706"/>
      <c r="I69" s="706"/>
      <c r="J69" s="706"/>
      <c r="K69" s="429"/>
      <c r="L69" s="429"/>
      <c r="M69" s="435"/>
    </row>
    <row r="70" spans="1:13" s="2" customFormat="1" ht="12.6" customHeight="1">
      <c r="A70" s="706"/>
      <c r="B70" s="706"/>
      <c r="C70" s="706"/>
      <c r="D70" s="706"/>
      <c r="E70" s="706"/>
      <c r="F70" s="706"/>
      <c r="G70" s="706"/>
      <c r="H70" s="706"/>
      <c r="I70" s="706"/>
      <c r="J70" s="706"/>
      <c r="K70" s="429"/>
      <c r="L70" s="429"/>
      <c r="M70" s="435"/>
    </row>
    <row r="71" spans="1:13" s="2" customFormat="1" ht="12.6" customHeight="1">
      <c r="A71" s="706"/>
      <c r="B71" s="706"/>
      <c r="C71" s="706"/>
      <c r="D71" s="706"/>
      <c r="E71" s="706"/>
      <c r="F71" s="706"/>
      <c r="G71" s="706"/>
      <c r="H71" s="706"/>
      <c r="I71" s="706"/>
      <c r="J71" s="706"/>
      <c r="K71" s="429"/>
      <c r="L71" s="429"/>
      <c r="M71" s="435"/>
    </row>
    <row r="72" spans="1:13" s="2" customFormat="1" ht="12.6" customHeight="1">
      <c r="A72" s="706"/>
      <c r="B72" s="706"/>
      <c r="C72" s="706"/>
      <c r="D72" s="706"/>
      <c r="E72" s="706"/>
      <c r="F72" s="706"/>
      <c r="G72" s="706"/>
      <c r="H72" s="706"/>
      <c r="I72" s="706"/>
      <c r="J72" s="706"/>
      <c r="K72" s="429"/>
      <c r="L72" s="429"/>
      <c r="M72" s="435"/>
    </row>
    <row r="73" spans="1:13" s="2" customFormat="1" ht="12.6" customHeight="1">
      <c r="A73" s="706"/>
      <c r="B73" s="706"/>
      <c r="C73" s="706"/>
      <c r="D73" s="706"/>
      <c r="E73" s="706"/>
      <c r="F73" s="706"/>
      <c r="G73" s="706"/>
      <c r="H73" s="706"/>
      <c r="I73" s="706"/>
      <c r="J73" s="706"/>
      <c r="K73" s="429"/>
      <c r="L73" s="429"/>
      <c r="M73" s="435"/>
    </row>
    <row r="74" spans="1:13" s="2" customFormat="1" ht="12.6" customHeight="1">
      <c r="A74" s="706"/>
      <c r="B74" s="706"/>
      <c r="C74" s="706"/>
      <c r="D74" s="706"/>
      <c r="E74" s="706"/>
      <c r="F74" s="706"/>
      <c r="G74" s="706"/>
      <c r="H74" s="706"/>
      <c r="I74" s="706"/>
      <c r="J74" s="706"/>
      <c r="K74" s="429"/>
      <c r="L74" s="429"/>
      <c r="M74" s="435"/>
    </row>
    <row r="75" spans="1:13" s="2" customFormat="1" ht="12.6" customHeight="1">
      <c r="A75" s="201"/>
      <c r="B75" s="201"/>
      <c r="C75" s="201"/>
      <c r="D75" s="201"/>
      <c r="E75" s="201"/>
      <c r="F75" s="201"/>
      <c r="G75" s="201"/>
      <c r="H75" s="201"/>
      <c r="I75" s="201"/>
      <c r="J75" s="201"/>
      <c r="M75" s="159"/>
    </row>
    <row r="76" spans="1:13" s="2" customFormat="1" ht="12.6" hidden="1" customHeight="1">
      <c r="A76" s="87" t="s">
        <v>155</v>
      </c>
      <c r="B76" s="201"/>
      <c r="C76" s="201"/>
      <c r="D76" s="201"/>
      <c r="E76" s="201"/>
      <c r="F76" s="201"/>
      <c r="G76" s="201"/>
      <c r="H76" s="201"/>
      <c r="I76" s="201"/>
      <c r="J76" s="201"/>
      <c r="M76" s="159"/>
    </row>
    <row r="77" spans="1:13" s="2" customFormat="1" ht="12.6" hidden="1" customHeight="1">
      <c r="D77" s="159"/>
      <c r="G77" s="159"/>
      <c r="J77" s="159"/>
      <c r="M77" s="159"/>
    </row>
    <row r="78" spans="1:13" s="2" customFormat="1" ht="12.6" hidden="1" customHeight="1">
      <c r="A78" s="202" t="s">
        <v>91</v>
      </c>
      <c r="D78" s="159"/>
      <c r="G78" s="159"/>
      <c r="J78" s="140" t="s">
        <v>607</v>
      </c>
      <c r="M78" s="159"/>
    </row>
    <row r="79" spans="1:13" s="2" customFormat="1" ht="12.6" hidden="1" customHeight="1">
      <c r="A79" s="2" t="s">
        <v>668</v>
      </c>
      <c r="D79" s="159"/>
      <c r="J79" s="59" t="str">
        <f>IF($D$43&gt;0,"Answer Required",IF($M$43&gt;0,"Answer Required","N/A"))</f>
        <v>N/A</v>
      </c>
      <c r="M79" s="159"/>
    </row>
    <row r="80" spans="1:13" s="2" customFormat="1" ht="12.6" hidden="1" customHeight="1">
      <c r="D80" s="159"/>
      <c r="G80" s="1" t="s">
        <v>99</v>
      </c>
      <c r="J80" s="200"/>
      <c r="M80" s="159"/>
    </row>
    <row r="81" spans="1:26" s="2" customFormat="1" ht="12.6" hidden="1" customHeight="1">
      <c r="D81" s="159"/>
      <c r="G81" s="1" t="s">
        <v>98</v>
      </c>
      <c r="J81" s="200"/>
      <c r="M81" s="159"/>
    </row>
    <row r="82" spans="1:26" s="2" customFormat="1" ht="12.6" hidden="1" customHeight="1">
      <c r="A82" s="693" t="s">
        <v>630</v>
      </c>
      <c r="B82" s="694"/>
      <c r="C82" s="694"/>
      <c r="D82" s="694"/>
      <c r="E82" s="694"/>
      <c r="F82" s="694"/>
      <c r="G82" s="694"/>
      <c r="H82" s="694"/>
      <c r="I82" s="694"/>
      <c r="J82" s="695"/>
      <c r="M82" s="159"/>
      <c r="N82" s="672"/>
      <c r="O82" s="673"/>
      <c r="P82" s="673"/>
      <c r="Q82" s="673"/>
      <c r="R82" s="673"/>
      <c r="S82" s="673"/>
      <c r="T82" s="673"/>
      <c r="U82" s="673"/>
      <c r="V82" s="673"/>
      <c r="W82" s="673"/>
      <c r="X82" s="673"/>
      <c r="Y82" s="673"/>
      <c r="Z82" s="673"/>
    </row>
    <row r="83" spans="1:26" s="2" customFormat="1" ht="12.6" hidden="1" customHeight="1">
      <c r="A83" s="696"/>
      <c r="B83" s="697"/>
      <c r="C83" s="697"/>
      <c r="D83" s="697"/>
      <c r="E83" s="697"/>
      <c r="F83" s="697"/>
      <c r="G83" s="697"/>
      <c r="H83" s="697"/>
      <c r="I83" s="697"/>
      <c r="J83" s="698"/>
      <c r="M83" s="159"/>
    </row>
    <row r="84" spans="1:26" s="2" customFormat="1" ht="12.6" hidden="1" customHeight="1">
      <c r="A84" s="696"/>
      <c r="B84" s="697"/>
      <c r="C84" s="697"/>
      <c r="D84" s="697"/>
      <c r="E84" s="697"/>
      <c r="F84" s="697"/>
      <c r="G84" s="697"/>
      <c r="H84" s="697"/>
      <c r="I84" s="697"/>
      <c r="J84" s="698"/>
      <c r="M84" s="159"/>
    </row>
    <row r="85" spans="1:26" s="2" customFormat="1" ht="12.6" hidden="1" customHeight="1">
      <c r="A85" s="696"/>
      <c r="B85" s="697"/>
      <c r="C85" s="697"/>
      <c r="D85" s="697"/>
      <c r="E85" s="697"/>
      <c r="F85" s="697"/>
      <c r="G85" s="697"/>
      <c r="H85" s="697"/>
      <c r="I85" s="697"/>
      <c r="J85" s="698"/>
      <c r="M85" s="159"/>
    </row>
    <row r="86" spans="1:26" s="2" customFormat="1" ht="12.6" hidden="1" customHeight="1">
      <c r="A86" s="696"/>
      <c r="B86" s="697"/>
      <c r="C86" s="697"/>
      <c r="D86" s="697"/>
      <c r="E86" s="697"/>
      <c r="F86" s="697"/>
      <c r="G86" s="697"/>
      <c r="H86" s="697"/>
      <c r="I86" s="697"/>
      <c r="J86" s="698"/>
      <c r="M86" s="159"/>
    </row>
    <row r="87" spans="1:26" s="2" customFormat="1" ht="12.6" hidden="1" customHeight="1">
      <c r="A87" s="696"/>
      <c r="B87" s="697"/>
      <c r="C87" s="697"/>
      <c r="D87" s="697"/>
      <c r="E87" s="697"/>
      <c r="F87" s="697"/>
      <c r="G87" s="697"/>
      <c r="H87" s="697"/>
      <c r="I87" s="697"/>
      <c r="J87" s="698"/>
      <c r="M87" s="159"/>
    </row>
    <row r="88" spans="1:26" s="2" customFormat="1" ht="12.6" hidden="1" customHeight="1">
      <c r="A88" s="696"/>
      <c r="B88" s="697"/>
      <c r="C88" s="697"/>
      <c r="D88" s="697"/>
      <c r="E88" s="697"/>
      <c r="F88" s="697"/>
      <c r="G88" s="697"/>
      <c r="H88" s="697"/>
      <c r="I88" s="697"/>
      <c r="J88" s="698"/>
      <c r="M88" s="159"/>
    </row>
    <row r="89" spans="1:26" s="2" customFormat="1" ht="12.6" hidden="1" customHeight="1">
      <c r="A89" s="696"/>
      <c r="B89" s="697"/>
      <c r="C89" s="697"/>
      <c r="D89" s="697"/>
      <c r="E89" s="697"/>
      <c r="F89" s="697"/>
      <c r="G89" s="697"/>
      <c r="H89" s="697"/>
      <c r="I89" s="697"/>
      <c r="J89" s="698"/>
      <c r="M89" s="159"/>
    </row>
    <row r="90" spans="1:26" s="2" customFormat="1" ht="12.6" hidden="1" customHeight="1">
      <c r="A90" s="699"/>
      <c r="B90" s="700"/>
      <c r="C90" s="700"/>
      <c r="D90" s="700"/>
      <c r="E90" s="700"/>
      <c r="F90" s="700"/>
      <c r="G90" s="700"/>
      <c r="H90" s="700"/>
      <c r="I90" s="700"/>
      <c r="J90" s="701"/>
      <c r="M90" s="159"/>
    </row>
    <row r="91" spans="1:26" s="2" customFormat="1" ht="12.6" hidden="1" customHeight="1">
      <c r="A91" s="699"/>
      <c r="B91" s="700"/>
      <c r="C91" s="700"/>
      <c r="D91" s="700"/>
      <c r="E91" s="700"/>
      <c r="F91" s="700"/>
      <c r="G91" s="700"/>
      <c r="H91" s="700"/>
      <c r="I91" s="700"/>
      <c r="J91" s="701"/>
      <c r="M91" s="159"/>
    </row>
    <row r="92" spans="1:26" s="2" customFormat="1" ht="12.6" hidden="1" customHeight="1">
      <c r="A92" s="699"/>
      <c r="B92" s="700"/>
      <c r="C92" s="700"/>
      <c r="D92" s="700"/>
      <c r="E92" s="700"/>
      <c r="F92" s="700"/>
      <c r="G92" s="700"/>
      <c r="H92" s="700"/>
      <c r="I92" s="700"/>
      <c r="J92" s="701"/>
      <c r="M92" s="159"/>
    </row>
    <row r="93" spans="1:26" s="2" customFormat="1" ht="78.75" hidden="1" customHeight="1">
      <c r="A93" s="702"/>
      <c r="B93" s="703"/>
      <c r="C93" s="703"/>
      <c r="D93" s="703"/>
      <c r="E93" s="703"/>
      <c r="F93" s="703"/>
      <c r="G93" s="703"/>
      <c r="H93" s="703"/>
      <c r="I93" s="703"/>
      <c r="J93" s="704"/>
      <c r="M93" s="159"/>
    </row>
    <row r="94" spans="1:26" s="2" customFormat="1" ht="12.6" hidden="1" customHeight="1">
      <c r="D94" s="159"/>
      <c r="G94" s="159"/>
      <c r="J94" s="159"/>
      <c r="M94" s="159"/>
    </row>
    <row r="95" spans="1:26" s="2" customFormat="1" ht="12.6" hidden="1" customHeight="1">
      <c r="D95" s="159"/>
      <c r="G95" s="159"/>
      <c r="J95" s="159"/>
      <c r="M95" s="159"/>
    </row>
    <row r="96" spans="1:26" s="2" customFormat="1" hidden="1">
      <c r="A96" s="715" t="str">
        <f>IF(J79="no","Answer Required","N/A")</f>
        <v>N/A</v>
      </c>
      <c r="B96" s="716"/>
      <c r="C96" s="716"/>
      <c r="D96" s="716"/>
      <c r="E96" s="716"/>
      <c r="F96" s="716"/>
      <c r="G96" s="716"/>
      <c r="H96" s="716"/>
      <c r="I96" s="716"/>
      <c r="J96" s="717"/>
      <c r="M96" s="159"/>
    </row>
    <row r="97" spans="1:13" s="2" customFormat="1" hidden="1">
      <c r="A97" s="718"/>
      <c r="B97" s="719"/>
      <c r="C97" s="719"/>
      <c r="D97" s="719"/>
      <c r="E97" s="719"/>
      <c r="F97" s="719"/>
      <c r="G97" s="719"/>
      <c r="H97" s="719"/>
      <c r="I97" s="719"/>
      <c r="J97" s="720"/>
      <c r="M97" s="159"/>
    </row>
    <row r="98" spans="1:13" s="2" customFormat="1" hidden="1">
      <c r="A98" s="718"/>
      <c r="B98" s="719"/>
      <c r="C98" s="719"/>
      <c r="D98" s="719"/>
      <c r="E98" s="719"/>
      <c r="F98" s="719"/>
      <c r="G98" s="719"/>
      <c r="H98" s="719"/>
      <c r="I98" s="719"/>
      <c r="J98" s="720"/>
      <c r="M98" s="159"/>
    </row>
    <row r="99" spans="1:13" s="2" customFormat="1" hidden="1">
      <c r="A99" s="718"/>
      <c r="B99" s="719"/>
      <c r="C99" s="719"/>
      <c r="D99" s="719"/>
      <c r="E99" s="719"/>
      <c r="F99" s="719"/>
      <c r="G99" s="719"/>
      <c r="H99" s="719"/>
      <c r="I99" s="719"/>
      <c r="J99" s="720"/>
      <c r="M99" s="159"/>
    </row>
    <row r="100" spans="1:13" s="2" customFormat="1" hidden="1">
      <c r="A100" s="718"/>
      <c r="B100" s="719"/>
      <c r="C100" s="719"/>
      <c r="D100" s="719"/>
      <c r="E100" s="719"/>
      <c r="F100" s="719"/>
      <c r="G100" s="719"/>
      <c r="H100" s="719"/>
      <c r="I100" s="719"/>
      <c r="J100" s="720"/>
      <c r="M100" s="159"/>
    </row>
    <row r="101" spans="1:13" s="2" customFormat="1" hidden="1">
      <c r="A101" s="718"/>
      <c r="B101" s="719"/>
      <c r="C101" s="719"/>
      <c r="D101" s="719"/>
      <c r="E101" s="719"/>
      <c r="F101" s="719"/>
      <c r="G101" s="719"/>
      <c r="H101" s="719"/>
      <c r="I101" s="719"/>
      <c r="J101" s="720"/>
      <c r="M101" s="159"/>
    </row>
    <row r="102" spans="1:13" s="2" customFormat="1" hidden="1">
      <c r="A102" s="718"/>
      <c r="B102" s="719"/>
      <c r="C102" s="719"/>
      <c r="D102" s="719"/>
      <c r="E102" s="719"/>
      <c r="F102" s="719"/>
      <c r="G102" s="719"/>
      <c r="H102" s="719"/>
      <c r="I102" s="719"/>
      <c r="J102" s="720"/>
      <c r="M102" s="159"/>
    </row>
    <row r="103" spans="1:13" s="2" customFormat="1" hidden="1">
      <c r="A103" s="718"/>
      <c r="B103" s="719"/>
      <c r="C103" s="719"/>
      <c r="D103" s="719"/>
      <c r="E103" s="719"/>
      <c r="F103" s="719"/>
      <c r="G103" s="719"/>
      <c r="H103" s="719"/>
      <c r="I103" s="719"/>
      <c r="J103" s="720"/>
      <c r="M103" s="159"/>
    </row>
    <row r="104" spans="1:13" s="2" customFormat="1" hidden="1">
      <c r="A104" s="718"/>
      <c r="B104" s="719"/>
      <c r="C104" s="719"/>
      <c r="D104" s="719"/>
      <c r="E104" s="719"/>
      <c r="F104" s="719"/>
      <c r="G104" s="719"/>
      <c r="H104" s="719"/>
      <c r="I104" s="719"/>
      <c r="J104" s="720"/>
      <c r="M104" s="159"/>
    </row>
    <row r="105" spans="1:13" s="2" customFormat="1" hidden="1">
      <c r="A105" s="718"/>
      <c r="B105" s="719"/>
      <c r="C105" s="719"/>
      <c r="D105" s="719"/>
      <c r="E105" s="719"/>
      <c r="F105" s="719"/>
      <c r="G105" s="719"/>
      <c r="H105" s="719"/>
      <c r="I105" s="719"/>
      <c r="J105" s="720"/>
      <c r="M105" s="159"/>
    </row>
    <row r="106" spans="1:13" s="2" customFormat="1" hidden="1">
      <c r="A106" s="721"/>
      <c r="B106" s="722"/>
      <c r="C106" s="722"/>
      <c r="D106" s="722"/>
      <c r="E106" s="722"/>
      <c r="F106" s="722"/>
      <c r="G106" s="722"/>
      <c r="H106" s="722"/>
      <c r="I106" s="722"/>
      <c r="J106" s="723"/>
      <c r="M106" s="159"/>
    </row>
    <row r="107" spans="1:13" s="2" customFormat="1" ht="12.6" hidden="1" customHeight="1">
      <c r="A107" s="203"/>
      <c r="B107" s="204"/>
      <c r="C107" s="204"/>
      <c r="D107" s="205"/>
      <c r="E107" s="204"/>
      <c r="F107" s="204"/>
      <c r="G107" s="205"/>
      <c r="H107" s="204"/>
      <c r="I107" s="204"/>
      <c r="J107" s="206"/>
      <c r="M107" s="159"/>
    </row>
    <row r="108" spans="1:13" s="2" customFormat="1" ht="12.6" hidden="1" customHeight="1">
      <c r="A108" s="207" t="s">
        <v>89</v>
      </c>
      <c r="D108" s="88"/>
      <c r="G108" s="208" t="s">
        <v>101</v>
      </c>
      <c r="J108" s="209"/>
      <c r="M108" s="159"/>
    </row>
    <row r="109" spans="1:13" s="2" customFormat="1" ht="12.6" hidden="1" customHeight="1">
      <c r="A109" s="207"/>
      <c r="B109" s="2" t="s">
        <v>480</v>
      </c>
      <c r="D109" s="88"/>
      <c r="G109" s="17"/>
      <c r="J109" s="209"/>
      <c r="M109" s="159"/>
    </row>
    <row r="110" spans="1:13" s="2" customFormat="1" ht="12.6" hidden="1" customHeight="1">
      <c r="A110" s="207"/>
      <c r="B110" s="2" t="s">
        <v>481</v>
      </c>
      <c r="D110" s="88"/>
      <c r="G110" s="17"/>
      <c r="J110" s="209"/>
      <c r="M110" s="159"/>
    </row>
    <row r="111" spans="1:13" s="2" customFormat="1" ht="12.6" hidden="1" customHeight="1">
      <c r="A111" s="207"/>
      <c r="B111" s="2" t="s">
        <v>482</v>
      </c>
      <c r="D111" s="88"/>
      <c r="G111" s="17"/>
      <c r="J111" s="209"/>
      <c r="M111" s="159"/>
    </row>
    <row r="112" spans="1:13" s="2" customFormat="1" ht="12.6" hidden="1" customHeight="1">
      <c r="A112" s="207"/>
      <c r="B112" s="2" t="s">
        <v>483</v>
      </c>
      <c r="D112" s="88"/>
      <c r="G112" s="17"/>
      <c r="J112" s="209"/>
      <c r="M112" s="159"/>
    </row>
    <row r="113" spans="1:13" s="2" customFormat="1" ht="12.6" hidden="1" customHeight="1">
      <c r="A113" s="207"/>
      <c r="B113" s="7" t="s">
        <v>456</v>
      </c>
      <c r="D113" s="88"/>
      <c r="G113" s="17"/>
      <c r="J113" s="209"/>
      <c r="M113" s="159"/>
    </row>
    <row r="114" spans="1:13" s="2" customFormat="1" ht="12.6" hidden="1" customHeight="1">
      <c r="A114" s="207"/>
      <c r="B114" s="7" t="s">
        <v>617</v>
      </c>
      <c r="D114" s="88"/>
      <c r="G114" s="249"/>
      <c r="J114" s="209"/>
      <c r="M114" s="159"/>
    </row>
    <row r="115" spans="1:13" s="2" customFormat="1" ht="12.6" hidden="1" customHeight="1">
      <c r="A115" s="207"/>
      <c r="B115" s="254" t="s">
        <v>416</v>
      </c>
      <c r="D115" s="88"/>
      <c r="G115" s="17"/>
      <c r="J115" s="209"/>
      <c r="M115" s="159"/>
    </row>
    <row r="116" spans="1:13" s="2" customFormat="1" ht="12.6" hidden="1" customHeight="1">
      <c r="A116" s="207"/>
      <c r="B116" s="254" t="s">
        <v>580</v>
      </c>
      <c r="D116" s="88"/>
      <c r="G116" s="17"/>
      <c r="J116" s="209"/>
      <c r="M116" s="159"/>
    </row>
    <row r="117" spans="1:13" s="2" customFormat="1" ht="12.6" hidden="1" customHeight="1">
      <c r="A117" s="207"/>
      <c r="B117" s="254" t="s">
        <v>164</v>
      </c>
      <c r="D117" s="88"/>
      <c r="G117" s="17"/>
      <c r="J117" s="209"/>
      <c r="M117" s="159"/>
    </row>
    <row r="118" spans="1:13" s="2" customFormat="1" ht="12.6" hidden="1" customHeight="1">
      <c r="A118" s="207"/>
      <c r="B118" s="254" t="s">
        <v>167</v>
      </c>
      <c r="D118" s="88"/>
      <c r="G118" s="17"/>
      <c r="J118" s="209"/>
      <c r="M118" s="159"/>
    </row>
    <row r="119" spans="1:13" s="2" customFormat="1" ht="12.6" hidden="1" customHeight="1">
      <c r="A119" s="207"/>
      <c r="D119" s="88"/>
      <c r="G119" s="88"/>
      <c r="J119" s="209"/>
      <c r="M119" s="159"/>
    </row>
    <row r="120" spans="1:13" s="2" customFormat="1" ht="12.6" hidden="1" customHeight="1">
      <c r="A120" s="207" t="s">
        <v>85</v>
      </c>
      <c r="D120" s="88"/>
      <c r="G120" s="88"/>
      <c r="J120" s="209"/>
      <c r="M120" s="159"/>
    </row>
    <row r="121" spans="1:13" s="2" customFormat="1" ht="12.6" hidden="1" customHeight="1">
      <c r="A121" s="207"/>
      <c r="D121" s="88"/>
      <c r="G121" s="208" t="s">
        <v>146</v>
      </c>
      <c r="J121" s="209"/>
      <c r="M121" s="159"/>
    </row>
    <row r="122" spans="1:13" s="2" customFormat="1" ht="12.6" hidden="1" customHeight="1">
      <c r="A122" s="207"/>
      <c r="B122" s="2" t="s">
        <v>480</v>
      </c>
      <c r="D122" s="88"/>
      <c r="G122" s="215"/>
      <c r="J122" s="209"/>
      <c r="M122" s="159"/>
    </row>
    <row r="123" spans="1:13" s="2" customFormat="1" ht="12.6" hidden="1" customHeight="1">
      <c r="A123" s="207"/>
      <c r="B123" s="2" t="s">
        <v>481</v>
      </c>
      <c r="D123" s="88"/>
      <c r="G123" s="215"/>
      <c r="J123" s="209"/>
      <c r="M123" s="159"/>
    </row>
    <row r="124" spans="1:13" s="2" customFormat="1" ht="12.6" hidden="1" customHeight="1">
      <c r="A124" s="207"/>
      <c r="B124" s="2" t="s">
        <v>482</v>
      </c>
      <c r="D124" s="88"/>
      <c r="G124" s="215"/>
      <c r="J124" s="209"/>
      <c r="M124" s="159"/>
    </row>
    <row r="125" spans="1:13" s="2" customFormat="1" ht="12.6" hidden="1" customHeight="1">
      <c r="A125" s="207"/>
      <c r="B125" s="2" t="s">
        <v>483</v>
      </c>
      <c r="D125" s="88"/>
      <c r="G125" s="215"/>
      <c r="J125" s="209"/>
      <c r="M125" s="159"/>
    </row>
    <row r="126" spans="1:13" s="2" customFormat="1" ht="12.6" hidden="1" customHeight="1">
      <c r="A126" s="207"/>
      <c r="B126" s="7" t="s">
        <v>456</v>
      </c>
      <c r="D126" s="88"/>
      <c r="G126" s="215"/>
      <c r="J126" s="209"/>
      <c r="M126" s="159"/>
    </row>
    <row r="127" spans="1:13" s="2" customFormat="1" ht="12.6" hidden="1" customHeight="1">
      <c r="A127" s="207"/>
      <c r="B127" s="7" t="s">
        <v>617</v>
      </c>
      <c r="D127" s="88"/>
      <c r="G127" s="262"/>
      <c r="J127" s="209"/>
      <c r="M127" s="159"/>
    </row>
    <row r="128" spans="1:13" s="2" customFormat="1" ht="12.6" hidden="1" customHeight="1">
      <c r="A128" s="207"/>
      <c r="B128" s="254" t="s">
        <v>416</v>
      </c>
      <c r="D128" s="88"/>
      <c r="G128" s="215"/>
      <c r="J128" s="209"/>
      <c r="M128" s="159"/>
    </row>
    <row r="129" spans="1:13" s="2" customFormat="1" ht="12.6" hidden="1" customHeight="1">
      <c r="A129" s="207"/>
      <c r="B129" s="254" t="s">
        <v>580</v>
      </c>
      <c r="D129" s="88"/>
      <c r="G129" s="215"/>
      <c r="J129" s="209"/>
      <c r="M129" s="159"/>
    </row>
    <row r="130" spans="1:13" s="2" customFormat="1" ht="12.6" hidden="1" customHeight="1">
      <c r="A130" s="207"/>
      <c r="B130" s="254" t="s">
        <v>164</v>
      </c>
      <c r="D130" s="88"/>
      <c r="G130" s="215"/>
      <c r="J130" s="209"/>
      <c r="M130" s="159"/>
    </row>
    <row r="131" spans="1:13" hidden="1">
      <c r="A131" s="210"/>
      <c r="B131" s="254" t="s">
        <v>167</v>
      </c>
      <c r="G131" s="216"/>
      <c r="J131" s="211"/>
    </row>
    <row r="132" spans="1:13" hidden="1">
      <c r="A132" s="212"/>
      <c r="B132" s="139"/>
      <c r="C132" s="139"/>
      <c r="D132" s="139"/>
      <c r="E132" s="139"/>
      <c r="F132" s="139"/>
      <c r="G132" s="139"/>
      <c r="H132" s="139"/>
      <c r="I132" s="139"/>
      <c r="J132" s="213"/>
    </row>
    <row r="133" spans="1:13" hidden="1">
      <c r="A133" s="210"/>
      <c r="J133" s="211"/>
    </row>
    <row r="134" spans="1:13" ht="12.75" hidden="1">
      <c r="A134" s="253" t="s">
        <v>225</v>
      </c>
      <c r="J134" s="211"/>
    </row>
    <row r="135" spans="1:13" hidden="1">
      <c r="A135" s="210"/>
      <c r="J135" s="211"/>
    </row>
    <row r="136" spans="1:13" hidden="1">
      <c r="A136" s="210" t="s">
        <v>226</v>
      </c>
      <c r="J136" s="214"/>
    </row>
    <row r="137" spans="1:13" hidden="1">
      <c r="A137" s="210"/>
      <c r="J137" s="211"/>
    </row>
    <row r="138" spans="1:13" hidden="1">
      <c r="A138" s="210" t="s">
        <v>227</v>
      </c>
      <c r="J138" s="211"/>
    </row>
    <row r="139" spans="1:13" hidden="1">
      <c r="A139" s="210"/>
      <c r="J139" s="211"/>
    </row>
    <row r="140" spans="1:13" hidden="1">
      <c r="A140" s="724"/>
      <c r="B140" s="725"/>
      <c r="C140" s="725"/>
      <c r="D140" s="725"/>
      <c r="E140" s="725"/>
      <c r="F140" s="725"/>
      <c r="G140" s="725"/>
      <c r="H140" s="725"/>
      <c r="I140" s="725"/>
      <c r="J140" s="726"/>
    </row>
    <row r="141" spans="1:13" hidden="1">
      <c r="A141" s="727"/>
      <c r="B141" s="728"/>
      <c r="C141" s="728"/>
      <c r="D141" s="728"/>
      <c r="E141" s="728"/>
      <c r="F141" s="728"/>
      <c r="G141" s="728"/>
      <c r="H141" s="728"/>
      <c r="I141" s="728"/>
      <c r="J141" s="729"/>
    </row>
    <row r="142" spans="1:13" hidden="1">
      <c r="A142" s="727"/>
      <c r="B142" s="728"/>
      <c r="C142" s="728"/>
      <c r="D142" s="728"/>
      <c r="E142" s="728"/>
      <c r="F142" s="728"/>
      <c r="G142" s="728"/>
      <c r="H142" s="728"/>
      <c r="I142" s="728"/>
      <c r="J142" s="729"/>
    </row>
    <row r="143" spans="1:13" hidden="1">
      <c r="A143" s="727"/>
      <c r="B143" s="728"/>
      <c r="C143" s="728"/>
      <c r="D143" s="728"/>
      <c r="E143" s="728"/>
      <c r="F143" s="728"/>
      <c r="G143" s="728"/>
      <c r="H143" s="728"/>
      <c r="I143" s="728"/>
      <c r="J143" s="729"/>
    </row>
    <row r="144" spans="1:13" hidden="1">
      <c r="A144" s="727"/>
      <c r="B144" s="728"/>
      <c r="C144" s="728"/>
      <c r="D144" s="728"/>
      <c r="E144" s="728"/>
      <c r="F144" s="728"/>
      <c r="G144" s="728"/>
      <c r="H144" s="728"/>
      <c r="I144" s="728"/>
      <c r="J144" s="729"/>
    </row>
    <row r="145" spans="1:10" hidden="1">
      <c r="A145" s="727"/>
      <c r="B145" s="728"/>
      <c r="C145" s="728"/>
      <c r="D145" s="728"/>
      <c r="E145" s="728"/>
      <c r="F145" s="728"/>
      <c r="G145" s="728"/>
      <c r="H145" s="728"/>
      <c r="I145" s="728"/>
      <c r="J145" s="729"/>
    </row>
    <row r="146" spans="1:10" hidden="1">
      <c r="A146" s="730"/>
      <c r="B146" s="731"/>
      <c r="C146" s="731"/>
      <c r="D146" s="731"/>
      <c r="E146" s="731"/>
      <c r="F146" s="731"/>
      <c r="G146" s="731"/>
      <c r="H146" s="731"/>
      <c r="I146" s="731"/>
      <c r="J146" s="732"/>
    </row>
    <row r="147" spans="1:10" hidden="1">
      <c r="A147" s="210"/>
      <c r="J147" s="211"/>
    </row>
    <row r="148" spans="1:10" hidden="1">
      <c r="A148" s="210" t="s">
        <v>228</v>
      </c>
      <c r="J148" s="211"/>
    </row>
    <row r="149" spans="1:10" hidden="1">
      <c r="A149" s="210" t="s">
        <v>229</v>
      </c>
      <c r="G149" s="1" t="s">
        <v>36</v>
      </c>
      <c r="J149" s="214"/>
    </row>
    <row r="150" spans="1:10" hidden="1">
      <c r="A150" s="210"/>
      <c r="J150" s="211"/>
    </row>
    <row r="151" spans="1:10" hidden="1">
      <c r="A151" s="210" t="s">
        <v>231</v>
      </c>
      <c r="J151" s="211"/>
    </row>
    <row r="152" spans="1:10" hidden="1">
      <c r="A152" s="210" t="s">
        <v>230</v>
      </c>
      <c r="J152" s="211"/>
    </row>
    <row r="153" spans="1:10" hidden="1">
      <c r="A153" s="210" t="s">
        <v>232</v>
      </c>
      <c r="J153" s="211"/>
    </row>
    <row r="154" spans="1:10" ht="24" hidden="1" customHeight="1">
      <c r="A154" s="733" t="s">
        <v>493</v>
      </c>
      <c r="B154" s="672"/>
      <c r="C154" s="672"/>
      <c r="D154" s="672"/>
      <c r="E154" s="672"/>
      <c r="F154" s="672"/>
      <c r="G154" s="672"/>
      <c r="H154" s="672"/>
      <c r="I154" s="672"/>
      <c r="J154" s="734"/>
    </row>
    <row r="155" spans="1:10" hidden="1">
      <c r="A155" s="707"/>
      <c r="B155" s="708"/>
      <c r="C155" s="708"/>
      <c r="D155" s="708"/>
      <c r="E155" s="708"/>
      <c r="F155" s="708"/>
      <c r="G155" s="708"/>
      <c r="H155" s="708"/>
      <c r="I155" s="708"/>
      <c r="J155" s="709"/>
    </row>
    <row r="156" spans="1:10" hidden="1">
      <c r="A156" s="710"/>
      <c r="B156" s="711"/>
      <c r="C156" s="711"/>
      <c r="D156" s="711"/>
      <c r="E156" s="711"/>
      <c r="F156" s="711"/>
      <c r="G156" s="711"/>
      <c r="H156" s="711"/>
      <c r="I156" s="711"/>
      <c r="J156" s="712"/>
    </row>
    <row r="157" spans="1:10" hidden="1"/>
    <row r="158" spans="1:10" hidden="1">
      <c r="A158" s="1" t="s">
        <v>403</v>
      </c>
    </row>
    <row r="159" spans="1:10" hidden="1">
      <c r="A159" s="1" t="s">
        <v>492</v>
      </c>
    </row>
    <row r="160" spans="1:10" hidden="1">
      <c r="A160" s="1" t="s">
        <v>187</v>
      </c>
    </row>
    <row r="161" spans="1:10" hidden="1">
      <c r="A161" s="282"/>
      <c r="B161" s="283"/>
      <c r="C161" s="283"/>
      <c r="D161" s="283"/>
      <c r="E161" s="283"/>
      <c r="F161" s="283"/>
      <c r="G161" s="283"/>
      <c r="H161" s="283"/>
      <c r="I161" s="283"/>
      <c r="J161" s="284"/>
    </row>
    <row r="162" spans="1:10" ht="12.75" hidden="1">
      <c r="A162" s="285" t="s">
        <v>581</v>
      </c>
      <c r="J162" s="211"/>
    </row>
    <row r="163" spans="1:10" hidden="1">
      <c r="A163" s="210"/>
      <c r="J163" s="286" t="s">
        <v>36</v>
      </c>
    </row>
    <row r="164" spans="1:10" hidden="1">
      <c r="A164" s="210" t="s">
        <v>444</v>
      </c>
      <c r="J164" s="296" t="s">
        <v>556</v>
      </c>
    </row>
    <row r="165" spans="1:10" hidden="1">
      <c r="A165" s="210"/>
      <c r="B165" s="1" t="s">
        <v>445</v>
      </c>
      <c r="G165" s="12"/>
      <c r="H165" s="2"/>
      <c r="I165" s="2"/>
      <c r="J165" s="287"/>
    </row>
    <row r="166" spans="1:10" hidden="1">
      <c r="A166" s="210"/>
      <c r="B166" s="1" t="s">
        <v>446</v>
      </c>
      <c r="G166" s="12"/>
      <c r="H166" s="2"/>
      <c r="I166" s="2"/>
      <c r="J166" s="287"/>
    </row>
    <row r="167" spans="1:10" hidden="1">
      <c r="A167" s="210"/>
      <c r="J167" s="211"/>
    </row>
    <row r="168" spans="1:10" hidden="1">
      <c r="A168" s="684"/>
      <c r="B168" s="685"/>
      <c r="C168" s="685"/>
      <c r="D168" s="685"/>
      <c r="E168" s="685"/>
      <c r="F168" s="685"/>
      <c r="G168" s="685"/>
      <c r="H168" s="685"/>
      <c r="I168" s="685"/>
      <c r="J168" s="686"/>
    </row>
    <row r="169" spans="1:10" hidden="1">
      <c r="A169" s="687"/>
      <c r="B169" s="688"/>
      <c r="C169" s="688"/>
      <c r="D169" s="688"/>
      <c r="E169" s="688"/>
      <c r="F169" s="688"/>
      <c r="G169" s="688"/>
      <c r="H169" s="688"/>
      <c r="I169" s="688"/>
      <c r="J169" s="689"/>
    </row>
    <row r="170" spans="1:10" hidden="1">
      <c r="A170" s="687"/>
      <c r="B170" s="688"/>
      <c r="C170" s="688"/>
      <c r="D170" s="688"/>
      <c r="E170" s="688"/>
      <c r="F170" s="688"/>
      <c r="G170" s="688"/>
      <c r="H170" s="688"/>
      <c r="I170" s="688"/>
      <c r="J170" s="689"/>
    </row>
    <row r="171" spans="1:10" hidden="1">
      <c r="A171" s="687"/>
      <c r="B171" s="688"/>
      <c r="C171" s="688"/>
      <c r="D171" s="688"/>
      <c r="E171" s="688"/>
      <c r="F171" s="688"/>
      <c r="G171" s="688"/>
      <c r="H171" s="688"/>
      <c r="I171" s="688"/>
      <c r="J171" s="689"/>
    </row>
    <row r="172" spans="1:10" hidden="1">
      <c r="A172" s="687"/>
      <c r="B172" s="688"/>
      <c r="C172" s="688"/>
      <c r="D172" s="688"/>
      <c r="E172" s="688"/>
      <c r="F172" s="688"/>
      <c r="G172" s="688"/>
      <c r="H172" s="688"/>
      <c r="I172" s="688"/>
      <c r="J172" s="689"/>
    </row>
    <row r="173" spans="1:10" hidden="1">
      <c r="A173" s="687"/>
      <c r="B173" s="688"/>
      <c r="C173" s="688"/>
      <c r="D173" s="688"/>
      <c r="E173" s="688"/>
      <c r="F173" s="688"/>
      <c r="G173" s="688"/>
      <c r="H173" s="688"/>
      <c r="I173" s="688"/>
      <c r="J173" s="689"/>
    </row>
    <row r="174" spans="1:10" hidden="1">
      <c r="A174" s="690"/>
      <c r="B174" s="691"/>
      <c r="C174" s="691"/>
      <c r="D174" s="691"/>
      <c r="E174" s="691"/>
      <c r="F174" s="691"/>
      <c r="G174" s="691"/>
      <c r="H174" s="691"/>
      <c r="I174" s="691"/>
      <c r="J174" s="692"/>
    </row>
    <row r="175" spans="1:10" hidden="1">
      <c r="A175" s="210"/>
      <c r="J175" s="211"/>
    </row>
    <row r="176" spans="1:10" hidden="1">
      <c r="A176" s="210" t="s">
        <v>147</v>
      </c>
      <c r="J176" s="286" t="s">
        <v>607</v>
      </c>
    </row>
    <row r="177" spans="1:10" hidden="1">
      <c r="A177" s="210" t="s">
        <v>229</v>
      </c>
      <c r="J177" s="296" t="str">
        <f>IF(J164="Yes","Answer Required","N/A")</f>
        <v>N/A</v>
      </c>
    </row>
    <row r="178" spans="1:10" hidden="1">
      <c r="A178" s="210"/>
      <c r="J178" s="211"/>
    </row>
    <row r="179" spans="1:10" hidden="1">
      <c r="A179" s="210" t="s">
        <v>231</v>
      </c>
      <c r="J179" s="211"/>
    </row>
    <row r="180" spans="1:10" hidden="1">
      <c r="A180" s="210" t="s">
        <v>230</v>
      </c>
      <c r="J180" s="211"/>
    </row>
    <row r="181" spans="1:10" ht="24" hidden="1" customHeight="1">
      <c r="A181" s="681" t="s">
        <v>232</v>
      </c>
      <c r="B181" s="682"/>
      <c r="C181" s="682"/>
      <c r="D181" s="682"/>
      <c r="E181" s="682"/>
      <c r="F181" s="682"/>
      <c r="G181" s="682"/>
      <c r="H181" s="682"/>
      <c r="I181" s="682"/>
      <c r="J181" s="683"/>
    </row>
    <row r="182" spans="1:10" hidden="1">
      <c r="A182" s="210"/>
      <c r="J182" s="211"/>
    </row>
    <row r="183" spans="1:10" ht="12.75" hidden="1">
      <c r="A183" s="288"/>
      <c r="B183" s="289"/>
      <c r="C183" s="289"/>
      <c r="D183" s="289"/>
      <c r="E183" s="289"/>
      <c r="F183" s="289"/>
      <c r="G183" s="289"/>
      <c r="H183" s="289"/>
      <c r="I183" s="289"/>
      <c r="J183" s="290"/>
    </row>
    <row r="184" spans="1:10" hidden="1"/>
  </sheetData>
  <sheetProtection algorithmName="SHA-512" hashValue="RpDzIEPSZFJsZRvVeQVFH4ZHyvMF2+11+6OfM51XfVOP1HNDe4cbnu1BOAFZ94xqc34X3k95AXhnDo2CygocGw==" saltValue="rnnfATPF+YE0D5tqWLoVkg==" spinCount="100000" sheet="1" objects="1" scenarios="1"/>
  <customSheetViews>
    <customSheetView guid="{21549FED-0843-409C-B56D-2EB16B98EF5E}" showGridLines="0" hiddenRows="1">
      <selection activeCell="B3" sqref="B3:G3"/>
      <rowBreaks count="1" manualBreakCount="1">
        <brk id="85" max="13" man="1"/>
      </rowBreaks>
      <pageMargins left="0.5" right="0.31" top="0.69166666666666665" bottom="0.53" header="0.25" footer="0.24"/>
      <pageSetup scale="80" fitToWidth="0" orientation="portrait" cellComments="asDisplayed" r:id="rId1"/>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83B11BDE-9087-4120-8F71-87939A6C277C}" showPageBreaks="1" showGridLines="0" printArea="1" hiddenRows="1">
      <selection activeCell="C111" sqref="C111"/>
      <rowBreaks count="1" manualBreakCount="1">
        <brk id="96" max="14" man="1"/>
      </rowBreaks>
      <pageMargins left="0.5" right="0.31" top="0.6" bottom="0.53" header="0.25" footer="0.24"/>
      <pageSetup scale="59" orientation="portrait" cellComments="asDisplayed" r:id="rId2"/>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5A69DEB5-9E8B-40C6-849E-49B804F6ED86}" showGridLines="0" hiddenRows="1">
      <selection activeCell="C111" sqref="C111"/>
      <rowBreaks count="1" manualBreakCount="1">
        <brk id="96" max="14" man="1"/>
      </rowBreaks>
      <pageMargins left="0.5" right="0.31" top="0.6" bottom="0.53" header="0.25" footer="0.24"/>
      <pageSetup scale="59" orientation="portrait" cellComments="asDisplayed" r:id="rId3"/>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C3905544-E3E5-4318-8AA2-F7DE16A9B8E7}" showGridLines="0" hiddenRows="1">
      <selection activeCell="C111" sqref="C111"/>
      <rowBreaks count="1" manualBreakCount="1">
        <brk id="96" max="14" man="1"/>
      </rowBreaks>
      <pageMargins left="0.5" right="0.31" top="0.6" bottom="0.53" header="0.25" footer="0.24"/>
      <pageSetup scale="59" orientation="portrait" cellComments="asDisplayed" r:id="rId4"/>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s>
  <mergeCells count="20">
    <mergeCell ref="B1:G1"/>
    <mergeCell ref="B2:G2"/>
    <mergeCell ref="B3:G3"/>
    <mergeCell ref="B4:G4"/>
    <mergeCell ref="A181:J181"/>
    <mergeCell ref="A168:J174"/>
    <mergeCell ref="A82:J93"/>
    <mergeCell ref="A67:J74"/>
    <mergeCell ref="A155:J156"/>
    <mergeCell ref="B5:G5"/>
    <mergeCell ref="B6:G6"/>
    <mergeCell ref="A96:J106"/>
    <mergeCell ref="A140:J146"/>
    <mergeCell ref="A154:J154"/>
    <mergeCell ref="N82:Z82"/>
    <mergeCell ref="L12:M12"/>
    <mergeCell ref="C14:D14"/>
    <mergeCell ref="L13:M13"/>
    <mergeCell ref="C13:D13"/>
    <mergeCell ref="L14:M14"/>
  </mergeCells>
  <phoneticPr fontId="26" type="noConversion"/>
  <conditionalFormatting sqref="A96:J106">
    <cfRule type="cellIs" dxfId="27" priority="1" operator="equal">
      <formula>"Answer Required"</formula>
    </cfRule>
  </conditionalFormatting>
  <conditionalFormatting sqref="J79 J164 J177">
    <cfRule type="cellIs" dxfId="26" priority="4" operator="equal">
      <formula>"Answer Required"</formula>
    </cfRule>
  </conditionalFormatting>
  <dataValidations count="13">
    <dataValidation type="whole" allowBlank="1" showInputMessage="1" showErrorMessage="1" error="Enter a whole number." sqref="G109:G118" xr:uid="{00000000-0002-0000-0600-000000000000}">
      <formula1>-9999999999999</formula1>
      <formula2>9999999999999</formula2>
    </dataValidation>
    <dataValidation type="list" allowBlank="1" showInputMessage="1" showErrorMessage="1" error="Use the drop-down list to enter Yes, No or N/A." sqref="J79" xr:uid="{00000000-0002-0000-0600-000001000000}">
      <formula1>$A$158:$A$160</formula1>
    </dataValidation>
    <dataValidation type="list" allowBlank="1" showInputMessage="1" showErrorMessage="1" sqref="J136 J149" xr:uid="{00000000-0002-0000-0600-000002000000}">
      <formula1>$A$158:$A$159</formula1>
    </dataValidation>
    <dataValidation type="whole" allowBlank="1" showInputMessage="1" showErrorMessage="1" errorTitle="Enter Years" error="Enter number of Years 0-200" sqref="G122:G131" xr:uid="{00000000-0002-0000-0600-000003000000}">
      <formula1>0</formula1>
      <formula2>200</formula2>
    </dataValidation>
    <dataValidation type="whole" allowBlank="1" showInputMessage="1" showErrorMessage="1" sqref="D30:D31 J30:J31 G22 G42:G43 M43 G30:G31 D21:D22 G40 D39:D40 D42:D43 M16:M20 M23:M40 H16:I43 K16:L43 E16:F43" xr:uid="{00000000-0002-0000-0600-000004000000}">
      <formula1>0</formula1>
      <formula2>9.99999999999999E+25</formula2>
    </dataValidation>
    <dataValidation allowBlank="1" showErrorMessage="1" sqref="D41 M22" xr:uid="{00000000-0002-0000-0600-000005000000}"/>
    <dataValidation type="whole" allowBlank="1" showInputMessage="1" showErrorMessage="1" sqref="J22 J40 J42:J43" xr:uid="{00000000-0002-0000-0600-000006000000}">
      <formula1>-999999999999999</formula1>
      <formula2>9.99999999999999E+25</formula2>
    </dataValidation>
    <dataValidation type="whole" allowBlank="1" showInputMessage="1" showErrorMessage="1" error="Enter a positive whole number." sqref="G29 D29 D20 G38 D38" xr:uid="{00000000-0002-0000-0600-000007000000}">
      <formula1>-1</formula1>
      <formula2>9999999999999</formula2>
    </dataValidation>
    <dataValidation type="whole" allowBlank="1" showInputMessage="1" showErrorMessage="1" error="Enter a negative whole number." sqref="J29 J20 J38" xr:uid="{00000000-0002-0000-0600-000008000000}">
      <formula1>-9999999999999</formula1>
      <formula2>1</formula2>
    </dataValidation>
    <dataValidation type="list" allowBlank="1" showInputMessage="1" showErrorMessage="1" error="Use the drop-down list to enter Yes or No" sqref="J164" xr:uid="{00000000-0002-0000-0600-000009000000}">
      <formula1>$A$158:$A$159</formula1>
    </dataValidation>
    <dataValidation type="whole" allowBlank="1" showInputMessage="1" showErrorMessage="1" error="Enter a negative whole number." sqref="J16:J19 J24:J28 J33:J37" xr:uid="{00000000-0002-0000-0600-00000A000000}">
      <formula1>-9999999999999</formula1>
      <formula2>0</formula2>
    </dataValidation>
    <dataValidation type="list" allowBlank="1" showInputMessage="1" showErrorMessage="1" error="Use the drop-down list to enter Yes, No or N/A" sqref="J177" xr:uid="{00000000-0002-0000-0600-00000B000000}">
      <formula1>$A$158:$A$160</formula1>
    </dataValidation>
    <dataValidation type="whole" allowBlank="1" showInputMessage="1" showErrorMessage="1" error="Enter a positive whole number." sqref="D16:D19 G16:G19 D24:D28 G24:G28 G33:G37 D33:D37" xr:uid="{00000000-0002-0000-0600-00000C000000}">
      <formula1>0</formula1>
      <formula2>9999999999999</formula2>
    </dataValidation>
  </dataValidations>
  <pageMargins left="0.75" right="0.31" top="0.69166666666666698" bottom="0.53" header="0.25" footer="0.24"/>
  <pageSetup scale="80" fitToWidth="0" orientation="portrait" cellComments="asDisplayed" r:id="rId5"/>
  <headerFooter alignWithMargins="0">
    <oddHeader>&amp;C&amp;"Times New Roman,Bold"Attachment CU4 - FASB Foundations
Financial Statement Template (FST)
&amp;A</oddHeader>
    <oddFooter>&amp;L&amp;"Times New Roman,Regular"&amp;F \ &amp;A&amp;RPage &amp;P</oddFooter>
  </headerFooter>
  <rowBreaks count="1" manualBreakCount="1">
    <brk id="75" max="13" man="1"/>
  </rowBreaks>
  <ignoredErrors>
    <ignoredError sqref="J177 J79:J80" unlockedFormula="1"/>
  </ignoredErrors>
  <legacy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Y190"/>
  <sheetViews>
    <sheetView showGridLines="0" zoomScaleNormal="100" zoomScaleSheetLayoutView="85" workbookViewId="0">
      <selection activeCell="B3" sqref="B3:F3"/>
    </sheetView>
  </sheetViews>
  <sheetFormatPr defaultColWidth="8.85546875" defaultRowHeight="11.25"/>
  <cols>
    <col min="1" max="1" width="34.7109375" style="1" customWidth="1"/>
    <col min="2" max="2" width="16.42578125" style="1" customWidth="1"/>
    <col min="3" max="3" width="18.5703125" style="1" customWidth="1"/>
    <col min="4" max="4" width="17.42578125" style="1" customWidth="1"/>
    <col min="5" max="5" width="17.28515625" style="1" customWidth="1"/>
    <col min="6" max="6" width="17.140625" style="1" customWidth="1"/>
    <col min="7" max="7" width="16.85546875" style="1" customWidth="1"/>
    <col min="8" max="8" width="16.7109375" style="1" customWidth="1"/>
    <col min="9" max="9" width="22.140625" style="1" customWidth="1"/>
    <col min="10" max="10" width="13.42578125" style="1" hidden="1" customWidth="1"/>
    <col min="11" max="11" width="8.85546875" style="1" customWidth="1"/>
    <col min="12" max="12" width="2.28515625" style="1" customWidth="1"/>
    <col min="13" max="16384" width="8.85546875" style="1"/>
  </cols>
  <sheetData>
    <row r="1" spans="1:10" s="2" customFormat="1" ht="12.6" customHeight="1">
      <c r="A1" s="12" t="s">
        <v>392</v>
      </c>
      <c r="B1" s="755" t="str">
        <f>'Component Unit Template'!G1</f>
        <v/>
      </c>
      <c r="C1" s="756"/>
      <c r="D1" s="756"/>
      <c r="E1" s="756"/>
      <c r="F1" s="757"/>
      <c r="G1" s="110"/>
      <c r="H1" s="110"/>
      <c r="I1" s="145"/>
    </row>
    <row r="2" spans="1:10" s="2" customFormat="1">
      <c r="A2" s="12" t="s">
        <v>404</v>
      </c>
      <c r="B2" s="758" t="str">
        <f>IF('Component Unit Template'!G2="","",'Component Unit Template'!G2)</f>
        <v/>
      </c>
      <c r="C2" s="759"/>
      <c r="D2" s="759"/>
      <c r="E2" s="759"/>
      <c r="F2" s="759"/>
      <c r="G2" s="234"/>
      <c r="H2" s="234"/>
      <c r="I2" s="145"/>
    </row>
    <row r="3" spans="1:10" s="2" customFormat="1">
      <c r="A3" s="12" t="s">
        <v>438</v>
      </c>
      <c r="B3" s="760" t="str">
        <f>IF('Component Unit Template'!G3="","",'Component Unit Template'!G3)</f>
        <v/>
      </c>
      <c r="C3" s="761"/>
      <c r="D3" s="761"/>
      <c r="E3" s="761"/>
      <c r="F3" s="761"/>
      <c r="G3" s="234"/>
      <c r="H3" s="234"/>
      <c r="I3" s="145"/>
    </row>
    <row r="4" spans="1:10" s="2" customFormat="1">
      <c r="A4" s="12" t="s">
        <v>255</v>
      </c>
      <c r="B4" s="762" t="str">
        <f>IF('Component Unit Template'!G4="","",'Component Unit Template'!G4)</f>
        <v/>
      </c>
      <c r="C4" s="763"/>
      <c r="D4" s="763"/>
      <c r="E4" s="763"/>
      <c r="F4" s="763"/>
      <c r="G4" s="321"/>
      <c r="H4" s="321"/>
      <c r="I4" s="145"/>
    </row>
    <row r="5" spans="1:10" s="2" customFormat="1">
      <c r="A5" s="12" t="s">
        <v>511</v>
      </c>
      <c r="B5" s="764" t="str">
        <f>IF('Component Unit Template'!G5="","",'Component Unit Template'!G5)</f>
        <v/>
      </c>
      <c r="C5" s="765"/>
      <c r="D5" s="765"/>
      <c r="E5" s="765"/>
      <c r="F5" s="765"/>
      <c r="G5" s="322"/>
      <c r="H5" s="322"/>
      <c r="I5" s="145"/>
    </row>
    <row r="6" spans="1:10" s="2" customFormat="1">
      <c r="A6" s="12" t="s">
        <v>35</v>
      </c>
      <c r="B6" s="766" t="str">
        <f>IF('Component Unit Template'!G6="","",'Component Unit Template'!G6)</f>
        <v/>
      </c>
      <c r="C6" s="766"/>
      <c r="D6" s="766"/>
      <c r="E6" s="766"/>
      <c r="F6" s="766"/>
      <c r="G6" s="323"/>
      <c r="H6" s="323"/>
      <c r="I6" s="145"/>
    </row>
    <row r="7" spans="1:10" s="2" customFormat="1">
      <c r="A7" s="1"/>
      <c r="B7" s="146"/>
      <c r="C7" s="145"/>
      <c r="D7" s="145"/>
      <c r="E7" s="145"/>
      <c r="F7" s="145"/>
      <c r="G7" s="145"/>
      <c r="H7" s="145"/>
      <c r="I7" s="145"/>
    </row>
    <row r="8" spans="1:10" s="2" customFormat="1">
      <c r="A8" s="1"/>
      <c r="B8" s="146"/>
      <c r="C8" s="145"/>
      <c r="D8" s="145"/>
      <c r="E8" s="145"/>
      <c r="F8" s="145"/>
      <c r="G8" s="145"/>
      <c r="H8" s="145"/>
      <c r="I8" s="145"/>
    </row>
    <row r="9" spans="1:10" s="2" customFormat="1" ht="12.6" customHeight="1">
      <c r="A9" s="151" t="s">
        <v>348</v>
      </c>
      <c r="B9" s="1"/>
      <c r="C9" s="1"/>
      <c r="D9" s="1"/>
      <c r="I9" s="90"/>
      <c r="J9" s="2" t="s">
        <v>492</v>
      </c>
    </row>
    <row r="10" spans="1:10" s="115" customFormat="1" ht="12.6" customHeight="1">
      <c r="A10" s="147" t="str">
        <f>'Component Unit Template'!A35</f>
        <v>For the Year Ended June 30, 2024</v>
      </c>
      <c r="B10" s="1"/>
      <c r="C10" s="1"/>
      <c r="D10" s="1"/>
      <c r="F10" s="114"/>
      <c r="G10" s="114"/>
      <c r="H10" s="114"/>
      <c r="I10" s="218"/>
      <c r="J10" s="115" t="s">
        <v>187</v>
      </c>
    </row>
    <row r="11" spans="1:10" s="2" customFormat="1" ht="38.25" customHeight="1">
      <c r="A11" s="744" t="s">
        <v>916</v>
      </c>
      <c r="B11" s="572"/>
      <c r="C11" s="572"/>
      <c r="D11" s="572"/>
      <c r="E11" s="572"/>
      <c r="F11" s="572"/>
      <c r="G11" s="145"/>
      <c r="H11" s="145"/>
      <c r="I11" s="145"/>
    </row>
    <row r="12" spans="1:10" s="2" customFormat="1">
      <c r="A12" s="572"/>
      <c r="B12" s="572"/>
      <c r="C12" s="572"/>
      <c r="D12" s="572"/>
      <c r="E12" s="572"/>
      <c r="F12" s="572"/>
      <c r="G12" s="145"/>
      <c r="H12" s="145"/>
      <c r="I12" s="145"/>
    </row>
    <row r="13" spans="1:10" s="2" customFormat="1">
      <c r="A13" s="572"/>
      <c r="B13" s="572"/>
      <c r="C13" s="572"/>
      <c r="D13" s="572"/>
      <c r="E13" s="572"/>
      <c r="F13" s="572"/>
      <c r="G13" s="145"/>
      <c r="H13" s="145"/>
      <c r="I13" s="145"/>
    </row>
    <row r="14" spans="1:10" s="2" customFormat="1">
      <c r="A14" s="153"/>
      <c r="B14" s="154"/>
      <c r="C14" s="217"/>
      <c r="D14" s="217"/>
      <c r="E14" s="217"/>
      <c r="F14" s="217"/>
      <c r="G14" s="217"/>
      <c r="H14" s="217"/>
      <c r="I14" s="145"/>
    </row>
    <row r="15" spans="1:10" s="2" customFormat="1">
      <c r="A15" s="150"/>
      <c r="B15" s="146"/>
      <c r="C15" s="145"/>
      <c r="D15" s="145"/>
      <c r="E15" s="145"/>
      <c r="F15" s="145"/>
      <c r="G15" s="145"/>
      <c r="H15" s="145"/>
      <c r="I15" s="145"/>
      <c r="J15" s="2" t="s">
        <v>403</v>
      </c>
    </row>
    <row r="16" spans="1:10" s="115" customFormat="1" ht="12.6" customHeight="1">
      <c r="A16" s="152"/>
      <c r="B16" s="1"/>
      <c r="C16" s="1"/>
      <c r="D16" s="1"/>
      <c r="F16" s="114"/>
      <c r="G16" s="114"/>
      <c r="H16" s="114"/>
      <c r="I16" s="218"/>
    </row>
    <row r="17" spans="1:7" ht="12">
      <c r="A17" s="49" t="s">
        <v>461</v>
      </c>
    </row>
    <row r="18" spans="1:7">
      <c r="A18" s="12"/>
    </row>
    <row r="19" spans="1:7" ht="22.5">
      <c r="A19" s="12"/>
      <c r="B19" s="219" t="s">
        <v>940</v>
      </c>
      <c r="C19" s="219" t="s">
        <v>78</v>
      </c>
      <c r="D19" s="219" t="s">
        <v>536</v>
      </c>
      <c r="E19" s="220" t="s">
        <v>88</v>
      </c>
    </row>
    <row r="20" spans="1:7">
      <c r="A20" s="3" t="s">
        <v>632</v>
      </c>
      <c r="B20" s="221">
        <f>'Component Unit Template'!K156+'Component Unit Template'!K175</f>
        <v>0</v>
      </c>
      <c r="C20" s="221">
        <f>'Component Unit Template'!K156</f>
        <v>0</v>
      </c>
      <c r="D20" s="221">
        <f t="shared" ref="D20:D26" si="0">B20-C20</f>
        <v>0</v>
      </c>
      <c r="E20" s="136">
        <f>(SUM(C20+D20)-(SUM('Component Unit Template'!K156+'Component Unit Template'!K175)))</f>
        <v>0</v>
      </c>
    </row>
    <row r="21" spans="1:7">
      <c r="A21" s="4" t="s">
        <v>171</v>
      </c>
      <c r="B21" s="221">
        <f>'Component Unit Template'!K157+'Component Unit Template'!K176</f>
        <v>0</v>
      </c>
      <c r="C21" s="221">
        <f>'Component Unit Template'!K157</f>
        <v>0</v>
      </c>
      <c r="D21" s="221">
        <f t="shared" si="0"/>
        <v>0</v>
      </c>
      <c r="E21" s="136">
        <f>(SUM(C21+D21)-(SUM('Component Unit Template'!K157+'Component Unit Template'!K176)))</f>
        <v>0</v>
      </c>
    </row>
    <row r="22" spans="1:7" hidden="1">
      <c r="A22" s="4" t="s">
        <v>172</v>
      </c>
      <c r="B22" s="221"/>
      <c r="C22" s="221"/>
      <c r="D22" s="221"/>
      <c r="E22" s="136"/>
    </row>
    <row r="23" spans="1:7">
      <c r="A23" s="3" t="s">
        <v>855</v>
      </c>
      <c r="B23" s="221">
        <f>'Component Unit Template'!K159+'Component Unit Template'!K178</f>
        <v>0</v>
      </c>
      <c r="C23" s="221">
        <f>'Component Unit Template'!K159</f>
        <v>0</v>
      </c>
      <c r="D23" s="221">
        <f t="shared" si="0"/>
        <v>0</v>
      </c>
      <c r="E23" s="136">
        <f>(SUM(C23+D23)-(SUM('Component Unit Template'!K159+'Component Unit Template'!K178)))</f>
        <v>0</v>
      </c>
    </row>
    <row r="24" spans="1:7">
      <c r="A24" s="3" t="s">
        <v>79</v>
      </c>
      <c r="B24" s="221">
        <f>'Component Unit Template'!K160+'Component Unit Template'!K179</f>
        <v>0</v>
      </c>
      <c r="C24" s="221">
        <f>'Component Unit Template'!K160</f>
        <v>0</v>
      </c>
      <c r="D24" s="221">
        <f t="shared" si="0"/>
        <v>0</v>
      </c>
      <c r="E24" s="136">
        <f>(SUM(C24+D24)-(SUM('Component Unit Template'!K160+'Component Unit Template'!K179)))</f>
        <v>0</v>
      </c>
    </row>
    <row r="25" spans="1:7">
      <c r="A25" s="3" t="s">
        <v>397</v>
      </c>
      <c r="B25" s="221">
        <f>'Component Unit Template'!K181+'Component Unit Template'!K161</f>
        <v>0</v>
      </c>
      <c r="C25" s="221">
        <f>'Component Unit Template'!K161</f>
        <v>0</v>
      </c>
      <c r="D25" s="221">
        <f t="shared" si="0"/>
        <v>0</v>
      </c>
      <c r="E25" s="136">
        <f>(SUM(C25+D25)-(SUM('Component Unit Template'!K161+'Component Unit Template'!K181)))</f>
        <v>0</v>
      </c>
    </row>
    <row r="26" spans="1:7">
      <c r="A26" s="3" t="s">
        <v>442</v>
      </c>
      <c r="B26" s="221">
        <f>'Component Unit Template'!K182+'Component Unit Template'!K164</f>
        <v>0</v>
      </c>
      <c r="C26" s="221">
        <f>'Component Unit Template'!K164</f>
        <v>0</v>
      </c>
      <c r="D26" s="221">
        <f t="shared" si="0"/>
        <v>0</v>
      </c>
      <c r="E26" s="136">
        <f>(SUM(C26+D26)-(SUM('Component Unit Template'!K164+'Component Unit Template'!K182)))</f>
        <v>0</v>
      </c>
    </row>
    <row r="27" spans="1:7">
      <c r="A27" s="1" t="s">
        <v>856</v>
      </c>
      <c r="B27" s="462"/>
      <c r="C27" s="17"/>
      <c r="D27" s="462"/>
      <c r="E27" s="136"/>
    </row>
    <row r="28" spans="1:7">
      <c r="A28" s="1" t="s">
        <v>856</v>
      </c>
      <c r="B28" s="462"/>
      <c r="C28" s="17"/>
      <c r="D28" s="462"/>
      <c r="E28" s="136"/>
    </row>
    <row r="29" spans="1:7">
      <c r="A29" s="1" t="s">
        <v>856</v>
      </c>
      <c r="B29" s="462"/>
      <c r="C29" s="17"/>
      <c r="D29" s="462"/>
      <c r="E29" s="136"/>
    </row>
    <row r="30" spans="1:7">
      <c r="A30" s="1" t="s">
        <v>856</v>
      </c>
      <c r="B30" s="462"/>
      <c r="C30" s="17"/>
      <c r="D30" s="462"/>
      <c r="E30" s="136"/>
    </row>
    <row r="31" spans="1:7">
      <c r="A31" s="99" t="s">
        <v>603</v>
      </c>
      <c r="B31" s="221">
        <f>SUM(B27:B30)</f>
        <v>0</v>
      </c>
      <c r="C31" s="221">
        <f>IF(SUM(C27:C30)=('Component Unit Template'!K165), SUM(C27:C30), "ERROR")</f>
        <v>0</v>
      </c>
      <c r="D31" s="221">
        <f>IF(SUM(D27:D30)=('Component Unit Template'!K183), SUM(D27:D30), "ERROR")</f>
        <v>0</v>
      </c>
      <c r="E31" s="136">
        <f>(SUM(C31+D31))-(SUM('Component Unit Template'!K165+'Component Unit Template'!K183))</f>
        <v>0</v>
      </c>
      <c r="G31" s="8">
        <f>'Component Unit Template'!K166+'Component Unit Template'!K184</f>
        <v>0</v>
      </c>
    </row>
    <row r="32" spans="1:7" ht="12" thickBot="1">
      <c r="A32" s="99" t="s">
        <v>80</v>
      </c>
      <c r="B32" s="198">
        <f>IF(SUM(B20:B30)=('Component Unit Template'!K166+'Component Unit Template'!K184),SUM(B20:B30),"ERROR")</f>
        <v>0</v>
      </c>
      <c r="C32" s="198">
        <f>SUM(C20:C26)+C31</f>
        <v>0</v>
      </c>
      <c r="D32" s="198">
        <f>D20+D21+D22+D23+D24+D25+D26+D31</f>
        <v>0</v>
      </c>
      <c r="E32" s="136">
        <f>(SUM(C32+D32))-(SUM('Component Unit Template'!K166+'Component Unit Template'!K184))</f>
        <v>0</v>
      </c>
      <c r="G32" s="8">
        <f>C32+D32</f>
        <v>0</v>
      </c>
    </row>
    <row r="33" spans="1:9" ht="12" thickTop="1">
      <c r="A33" s="99"/>
      <c r="F33" s="257"/>
      <c r="G33" s="257"/>
      <c r="H33" s="257"/>
    </row>
    <row r="34" spans="1:9" ht="35.25" customHeight="1">
      <c r="A34" s="771" t="s">
        <v>669</v>
      </c>
      <c r="B34" s="771"/>
      <c r="C34" s="771"/>
      <c r="D34" s="771"/>
      <c r="E34" s="771"/>
      <c r="F34" s="771"/>
      <c r="G34" s="771"/>
      <c r="H34" s="257"/>
    </row>
    <row r="35" spans="1:9">
      <c r="A35" s="222"/>
      <c r="B35" s="139"/>
      <c r="C35" s="139"/>
      <c r="D35" s="139"/>
      <c r="E35" s="139"/>
      <c r="F35" s="139"/>
      <c r="G35" s="139"/>
      <c r="H35" s="139"/>
    </row>
    <row r="36" spans="1:9" hidden="1">
      <c r="A36" s="12"/>
    </row>
    <row r="37" spans="1:9" ht="12.75" hidden="1">
      <c r="A37" s="443" t="s">
        <v>354</v>
      </c>
      <c r="B37" s="444"/>
      <c r="C37" s="444"/>
      <c r="D37" s="444"/>
      <c r="E37" s="444"/>
      <c r="F37" s="767"/>
      <c r="G37" s="767"/>
      <c r="H37" s="767"/>
      <c r="I37" s="767"/>
    </row>
    <row r="38" spans="1:9" ht="12.75" hidden="1">
      <c r="A38" s="445"/>
      <c r="B38" s="446"/>
      <c r="C38" s="446"/>
      <c r="D38" s="446"/>
      <c r="E38" s="447"/>
      <c r="F38" s="446"/>
      <c r="G38" s="446"/>
      <c r="H38" s="446"/>
      <c r="I38" s="446"/>
    </row>
    <row r="39" spans="1:9" ht="22.5" hidden="1">
      <c r="A39" s="445"/>
      <c r="B39" s="448" t="s">
        <v>711</v>
      </c>
      <c r="C39" s="448" t="s">
        <v>256</v>
      </c>
      <c r="D39" s="448" t="s">
        <v>638</v>
      </c>
      <c r="E39" s="446"/>
      <c r="F39" s="446"/>
      <c r="G39" s="446"/>
      <c r="H39" s="446"/>
      <c r="I39" s="446"/>
    </row>
    <row r="40" spans="1:9" ht="12.75" hidden="1">
      <c r="A40" s="335" t="s">
        <v>357</v>
      </c>
      <c r="B40" s="449" t="e">
        <f>#REF!</f>
        <v>#REF!</v>
      </c>
      <c r="C40" s="449" t="str">
        <f>IF(ISNA(HLOOKUP($B$2,'Prior Year Amounts'!$K$292:$AK$307,3,FALSE)),"",(HLOOKUP($B$2,'Prior Year Amounts'!$K$292:$AK$307,3,FALSE)))</f>
        <v/>
      </c>
      <c r="D40" s="449" t="str">
        <f>IF(ISERR(B40-C40),"",(B40-C40))</f>
        <v/>
      </c>
      <c r="E40" s="446"/>
      <c r="F40" s="446"/>
      <c r="G40" s="446"/>
      <c r="H40" s="446"/>
      <c r="I40" s="446"/>
    </row>
    <row r="41" spans="1:9" ht="12.75" hidden="1">
      <c r="A41" s="335" t="s">
        <v>356</v>
      </c>
      <c r="B41" s="449" t="e">
        <f>#REF!</f>
        <v>#REF!</v>
      </c>
      <c r="C41" s="449" t="str">
        <f>IF(ISNA(HLOOKUP($B$2,'Prior Year Amounts'!$K$292:$AK$307,4,FALSE)),"",(HLOOKUP($B$2,'Prior Year Amounts'!$K$292:$AK$307,4,FALSE)))</f>
        <v/>
      </c>
      <c r="D41" s="449" t="str">
        <f>IF(ISERR(B41-C41),"",(B41-C41))</f>
        <v/>
      </c>
      <c r="E41" s="446"/>
      <c r="F41" s="446"/>
      <c r="G41" s="446"/>
      <c r="H41" s="446"/>
      <c r="I41" s="446"/>
    </row>
    <row r="42" spans="1:9" ht="12.75" hidden="1">
      <c r="A42" s="335" t="s">
        <v>355</v>
      </c>
      <c r="B42" s="449" t="e">
        <f>#REF!</f>
        <v>#REF!</v>
      </c>
      <c r="C42" s="449" t="str">
        <f>IF(ISNA(HLOOKUP($B$2,'Prior Year Amounts'!$K$292:$AK$307,5,FALSE)),"",(HLOOKUP($B$2,'Prior Year Amounts'!$K$292:$AK$307,5,FALSE)))</f>
        <v/>
      </c>
      <c r="D42" s="449" t="str">
        <f t="shared" ref="D42:D47" si="1">IF(ISERR(B42-C42),"",(B42-C42))</f>
        <v/>
      </c>
      <c r="E42" s="446"/>
      <c r="F42" s="446"/>
      <c r="G42" s="446"/>
      <c r="H42" s="446"/>
      <c r="I42" s="446"/>
    </row>
    <row r="43" spans="1:9" ht="12.75" hidden="1">
      <c r="A43" s="335" t="s">
        <v>358</v>
      </c>
      <c r="B43" s="449" t="e">
        <f>#REF!</f>
        <v>#REF!</v>
      </c>
      <c r="C43" s="449" t="str">
        <f>IF(ISNA(HLOOKUP($B$2,'Prior Year Amounts'!$K$292:$AK$307,6,FALSE)),"",(HLOOKUP($B$2,'Prior Year Amounts'!$K$292:$AK$307,6,FALSE)))</f>
        <v/>
      </c>
      <c r="D43" s="449" t="str">
        <f t="shared" si="1"/>
        <v/>
      </c>
      <c r="E43" s="446"/>
      <c r="F43" s="446"/>
      <c r="G43" s="446"/>
      <c r="H43" s="446"/>
      <c r="I43" s="446"/>
    </row>
    <row r="44" spans="1:9" ht="12.75" hidden="1">
      <c r="A44" s="335" t="s">
        <v>79</v>
      </c>
      <c r="B44" s="449" t="e">
        <f>#REF!</f>
        <v>#REF!</v>
      </c>
      <c r="C44" s="449" t="str">
        <f>IF(ISNA(HLOOKUP($B$2,'Prior Year Amounts'!$K$292:$AK$307,7,FALSE)),"",(HLOOKUP($B$2,'Prior Year Amounts'!$K$292:$AK$307,7,FALSE)))</f>
        <v/>
      </c>
      <c r="D44" s="449" t="str">
        <f t="shared" si="1"/>
        <v/>
      </c>
      <c r="E44" s="446"/>
      <c r="F44" s="446"/>
      <c r="G44" s="446"/>
      <c r="H44" s="446"/>
      <c r="I44" s="446"/>
    </row>
    <row r="45" spans="1:9" ht="12.75" hidden="1">
      <c r="A45" s="335" t="s">
        <v>707</v>
      </c>
      <c r="B45" s="449" t="e">
        <f>#REF!</f>
        <v>#REF!</v>
      </c>
      <c r="C45" s="449" t="str">
        <f>IF(ISNA(HLOOKUP($B$2,'Prior Year Amounts'!$K$292:$AK$307,8,FALSE)),"",(HLOOKUP($B$2,'Prior Year Amounts'!$K$292:$AK$307,8,FALSE)))</f>
        <v/>
      </c>
      <c r="D45" s="449" t="str">
        <f t="shared" si="1"/>
        <v/>
      </c>
      <c r="E45" s="446"/>
      <c r="F45" s="446"/>
      <c r="G45" s="446"/>
      <c r="H45" s="446"/>
      <c r="I45" s="446"/>
    </row>
    <row r="46" spans="1:9" ht="24" hidden="1">
      <c r="A46" s="450" t="s">
        <v>724</v>
      </c>
      <c r="B46" s="449" t="e">
        <f>#REF!</f>
        <v>#REF!</v>
      </c>
      <c r="C46" s="449" t="str">
        <f>IF(ISNA(HLOOKUP($B$2,'Prior Year Amounts'!$K$292:$AK$307,9,FALSE)),"",(HLOOKUP($B$2,'Prior Year Amounts'!$K$292:$AK$307,9,FALSE)))</f>
        <v/>
      </c>
      <c r="D46" s="449" t="str">
        <f t="shared" si="1"/>
        <v/>
      </c>
      <c r="E46" s="446"/>
      <c r="F46" s="446"/>
      <c r="G46" s="446"/>
      <c r="H46" s="446"/>
      <c r="I46" s="446"/>
    </row>
    <row r="47" spans="1:9" ht="12.75" hidden="1">
      <c r="A47" s="335" t="s">
        <v>397</v>
      </c>
      <c r="B47" s="449" t="e">
        <f>#REF!</f>
        <v>#REF!</v>
      </c>
      <c r="C47" s="449" t="str">
        <f>IF(ISNA(HLOOKUP($B$2,'Prior Year Amounts'!$K$292:$AK$307,10,FALSE)),"",(HLOOKUP($B$2,'Prior Year Amounts'!$K$292:$AK$307,10,FALSE)))</f>
        <v/>
      </c>
      <c r="D47" s="449" t="str">
        <f t="shared" si="1"/>
        <v/>
      </c>
      <c r="E47" s="446"/>
      <c r="F47" s="446"/>
      <c r="G47" s="446"/>
      <c r="H47" s="446"/>
      <c r="I47" s="446"/>
    </row>
    <row r="48" spans="1:9" ht="12.75" hidden="1">
      <c r="A48" s="420" t="s">
        <v>442</v>
      </c>
      <c r="B48" s="449" t="e">
        <f>#REF!</f>
        <v>#REF!</v>
      </c>
      <c r="C48" s="449" t="str">
        <f>IF(ISNA(HLOOKUP($B$2,'Prior Year Amounts'!$K$292:$AK$307,11,FALSE)),"",(HLOOKUP($B$2,'Prior Year Amounts'!$K$292:$AK$307,11,FALSE)))</f>
        <v/>
      </c>
      <c r="D48" s="449" t="str">
        <f>IF(ISERR(B48-C48),"",(B48-C48))</f>
        <v/>
      </c>
      <c r="E48" s="446"/>
      <c r="F48" s="446"/>
      <c r="G48" s="446"/>
      <c r="H48" s="446"/>
      <c r="I48" s="446"/>
    </row>
    <row r="49" spans="1:9" ht="12.75" hidden="1">
      <c r="A49" s="335" t="s">
        <v>359</v>
      </c>
      <c r="B49" s="449" t="e">
        <f>#REF!</f>
        <v>#REF!</v>
      </c>
      <c r="C49" s="449" t="str">
        <f>IF(ISNA(HLOOKUP($B$2,'Prior Year Amounts'!$K$292:$AK$307,12,FALSE)),"",(HLOOKUP($B$2,'Prior Year Amounts'!$K$292:$AK$307,12,FALSE)))</f>
        <v/>
      </c>
      <c r="D49" s="449" t="str">
        <f>IF(ISERR(B49-C49),"",(B49-C49))</f>
        <v/>
      </c>
      <c r="E49" s="446"/>
      <c r="F49" s="446"/>
      <c r="G49" s="446"/>
      <c r="H49" s="446"/>
      <c r="I49" s="446"/>
    </row>
    <row r="50" spans="1:9" ht="12.75" hidden="1">
      <c r="A50" s="335" t="s">
        <v>359</v>
      </c>
      <c r="B50" s="449" t="e">
        <f>#REF!</f>
        <v>#REF!</v>
      </c>
      <c r="C50" s="449" t="str">
        <f>IF(ISNA(HLOOKUP($B$2,'Prior Year Amounts'!$K$292:$AK$307,13,FALSE)),"",(HLOOKUP($B$2,'Prior Year Amounts'!$K$292:$AK$307,13,FALSE)))</f>
        <v/>
      </c>
      <c r="D50" s="449" t="str">
        <f>IF(ISERR(B50-C50),"",(B50-C50))</f>
        <v/>
      </c>
      <c r="E50" s="446"/>
      <c r="F50" s="446"/>
      <c r="G50" s="446"/>
      <c r="H50" s="446"/>
      <c r="I50" s="446"/>
    </row>
    <row r="51" spans="1:9" ht="12.75" hidden="1">
      <c r="A51" s="335" t="s">
        <v>359</v>
      </c>
      <c r="B51" s="449" t="e">
        <f>#REF!</f>
        <v>#REF!</v>
      </c>
      <c r="C51" s="449" t="str">
        <f>IF(ISNA(HLOOKUP($B$2,'Prior Year Amounts'!$K$292:$AK$307,14,FALSE)),"",(HLOOKUP($B$2,'Prior Year Amounts'!$K$292:$AK$307,14,FALSE)))</f>
        <v/>
      </c>
      <c r="D51" s="449" t="str">
        <f>IF(ISERR(B51-C51),"",(B51-C51))</f>
        <v/>
      </c>
      <c r="E51" s="446"/>
      <c r="F51" s="446"/>
      <c r="G51" s="446"/>
      <c r="H51" s="446"/>
      <c r="I51" s="446"/>
    </row>
    <row r="52" spans="1:9" ht="12.75" hidden="1">
      <c r="A52" s="335" t="s">
        <v>359</v>
      </c>
      <c r="B52" s="449" t="e">
        <f>#REF!</f>
        <v>#REF!</v>
      </c>
      <c r="C52" s="449" t="str">
        <f>IF(ISNA(HLOOKUP($B$2,'Prior Year Amounts'!$K$292:$AK$307,15,FALSE)),"",(HLOOKUP($B$2,'Prior Year Amounts'!$K$292:$AK$307,15,FALSE)))</f>
        <v/>
      </c>
      <c r="D52" s="449" t="str">
        <f>IF(ISERR(B52-C52),"",(B52-C52))</f>
        <v/>
      </c>
      <c r="E52" s="446"/>
      <c r="F52" s="446"/>
      <c r="G52" s="446"/>
      <c r="H52" s="446"/>
      <c r="I52" s="446"/>
    </row>
    <row r="53" spans="1:9" ht="13.5" hidden="1" thickBot="1">
      <c r="A53" s="451" t="s">
        <v>80</v>
      </c>
      <c r="B53" s="452" t="e">
        <f>SUM(B40:B52)</f>
        <v>#REF!</v>
      </c>
      <c r="C53" s="452">
        <f>SUM(C40:C52)</f>
        <v>0</v>
      </c>
      <c r="D53" s="452">
        <f>SUM(D40:D52)</f>
        <v>0</v>
      </c>
      <c r="E53" s="446"/>
      <c r="F53" s="446"/>
      <c r="G53" s="446"/>
      <c r="H53" s="446"/>
      <c r="I53" s="446"/>
    </row>
    <row r="54" spans="1:9" ht="13.5" hidden="1" thickTop="1">
      <c r="A54" s="453"/>
      <c r="B54" s="454"/>
      <c r="C54" s="454"/>
      <c r="D54" s="454"/>
      <c r="E54" s="446"/>
      <c r="F54" s="446"/>
      <c r="G54" s="446"/>
      <c r="H54" s="446"/>
      <c r="I54" s="446"/>
    </row>
    <row r="55" spans="1:9" ht="12.75" hidden="1">
      <c r="A55" s="445"/>
      <c r="B55" s="446"/>
      <c r="C55" s="446"/>
      <c r="D55" s="446"/>
      <c r="E55" s="446"/>
      <c r="F55" s="446"/>
      <c r="G55" s="446"/>
      <c r="H55" s="446"/>
      <c r="I55" s="446"/>
    </row>
    <row r="56" spans="1:9" ht="12" hidden="1">
      <c r="A56" s="455" t="s">
        <v>596</v>
      </c>
      <c r="B56" s="456"/>
      <c r="C56" s="456"/>
      <c r="D56" s="457"/>
      <c r="E56" s="456"/>
      <c r="F56" s="456"/>
      <c r="G56" s="456"/>
      <c r="H56" s="456"/>
      <c r="I56" s="457"/>
    </row>
    <row r="57" spans="1:9" ht="47.25" hidden="1" customHeight="1">
      <c r="A57" s="768"/>
      <c r="B57" s="769"/>
      <c r="C57" s="769"/>
      <c r="D57" s="769"/>
      <c r="E57" s="769"/>
      <c r="F57" s="770"/>
      <c r="G57" s="458"/>
      <c r="H57" s="458"/>
      <c r="I57" s="459"/>
    </row>
    <row r="58" spans="1:9" hidden="1">
      <c r="A58" s="12"/>
    </row>
    <row r="59" spans="1:9" hidden="1">
      <c r="A59" s="222"/>
      <c r="B59" s="139"/>
      <c r="C59" s="139"/>
      <c r="D59" s="139"/>
      <c r="E59" s="139"/>
      <c r="F59" s="139"/>
    </row>
    <row r="60" spans="1:9" ht="9.75" hidden="1" customHeight="1">
      <c r="A60" s="12"/>
      <c r="G60" s="139"/>
    </row>
    <row r="61" spans="1:9" ht="12">
      <c r="A61" s="358" t="s">
        <v>465</v>
      </c>
      <c r="B61" s="283"/>
      <c r="C61" s="283"/>
      <c r="D61" s="283"/>
      <c r="E61" s="283"/>
      <c r="F61" s="283"/>
    </row>
    <row r="63" spans="1:9" hidden="1"/>
    <row r="64" spans="1:9">
      <c r="A64" s="138"/>
      <c r="E64" s="12"/>
      <c r="I64" s="460"/>
    </row>
    <row r="65" spans="1:9">
      <c r="A65" s="138"/>
      <c r="B65" s="28"/>
      <c r="C65" s="28"/>
      <c r="D65" s="138"/>
      <c r="I65" s="460"/>
    </row>
    <row r="66" spans="1:9" ht="12.75">
      <c r="A66" s="99" t="s">
        <v>81</v>
      </c>
      <c r="B66" s="223" t="s">
        <v>82</v>
      </c>
      <c r="C66" s="223" t="s">
        <v>83</v>
      </c>
      <c r="D66" s="140" t="s">
        <v>431</v>
      </c>
      <c r="F66" s="480" t="s">
        <v>836</v>
      </c>
      <c r="I66" s="461"/>
    </row>
    <row r="67" spans="1:9">
      <c r="A67" s="156">
        <v>2025</v>
      </c>
      <c r="B67" s="17"/>
      <c r="C67" s="17"/>
      <c r="D67" s="481">
        <f>IF(B67='Component Unit Template'!K156,SUM(B67:C67),"ERROR")</f>
        <v>0</v>
      </c>
      <c r="F67" s="233">
        <f>(B67)-(C20)</f>
        <v>0</v>
      </c>
      <c r="I67" s="461"/>
    </row>
    <row r="68" spans="1:9">
      <c r="A68" s="156">
        <v>2026</v>
      </c>
      <c r="B68" s="17"/>
      <c r="C68" s="17"/>
      <c r="D68" s="224">
        <f t="shared" ref="D68:D86" si="2">SUM(B68:C68)</f>
        <v>0</v>
      </c>
      <c r="H68" s="99"/>
      <c r="I68" s="431"/>
    </row>
    <row r="69" spans="1:9">
      <c r="A69" s="156">
        <v>2027</v>
      </c>
      <c r="B69" s="17"/>
      <c r="C69" s="17"/>
      <c r="D69" s="224">
        <f t="shared" si="2"/>
        <v>0</v>
      </c>
      <c r="I69" s="461"/>
    </row>
    <row r="70" spans="1:9">
      <c r="A70" s="156">
        <v>2028</v>
      </c>
      <c r="B70" s="17"/>
      <c r="C70" s="17"/>
      <c r="D70" s="224">
        <f t="shared" si="2"/>
        <v>0</v>
      </c>
      <c r="E70" s="12"/>
      <c r="I70" s="461"/>
    </row>
    <row r="71" spans="1:9">
      <c r="A71" s="156">
        <v>2029</v>
      </c>
      <c r="B71" s="17"/>
      <c r="C71" s="17"/>
      <c r="D71" s="224">
        <f t="shared" si="2"/>
        <v>0</v>
      </c>
      <c r="I71" s="396"/>
    </row>
    <row r="72" spans="1:9">
      <c r="A72" s="99" t="s">
        <v>941</v>
      </c>
      <c r="B72" s="17"/>
      <c r="C72" s="17"/>
      <c r="D72" s="224">
        <f t="shared" si="2"/>
        <v>0</v>
      </c>
      <c r="E72" s="225"/>
      <c r="I72" s="466"/>
    </row>
    <row r="73" spans="1:9" hidden="1">
      <c r="A73" s="451" t="s">
        <v>712</v>
      </c>
      <c r="B73" s="17"/>
      <c r="C73" s="17"/>
      <c r="D73" s="224">
        <f t="shared" si="2"/>
        <v>0</v>
      </c>
      <c r="F73" s="1" t="s">
        <v>137</v>
      </c>
      <c r="I73" s="467" t="str">
        <f>IF(D89&lt;&gt;0,"Answer Required","N/A")</f>
        <v>N/A</v>
      </c>
    </row>
    <row r="74" spans="1:9" hidden="1">
      <c r="A74" s="451" t="s">
        <v>713</v>
      </c>
      <c r="B74" s="17"/>
      <c r="C74" s="17"/>
      <c r="D74" s="224">
        <f t="shared" si="2"/>
        <v>0</v>
      </c>
    </row>
    <row r="75" spans="1:9" hidden="1">
      <c r="A75" s="451" t="s">
        <v>714</v>
      </c>
      <c r="B75" s="17"/>
      <c r="C75" s="17"/>
      <c r="D75" s="224">
        <f t="shared" si="2"/>
        <v>0</v>
      </c>
      <c r="I75" s="138" t="s">
        <v>141</v>
      </c>
    </row>
    <row r="76" spans="1:9" hidden="1">
      <c r="A76" s="451" t="s">
        <v>715</v>
      </c>
      <c r="B76" s="17"/>
      <c r="C76" s="17"/>
      <c r="D76" s="224">
        <f t="shared" si="2"/>
        <v>0</v>
      </c>
      <c r="E76" s="225" t="s">
        <v>138</v>
      </c>
      <c r="F76" s="1" t="s">
        <v>139</v>
      </c>
      <c r="I76" s="468" t="str">
        <f>IF(D89&lt;&gt;0,"Answer Required","N/A")</f>
        <v>N/A</v>
      </c>
    </row>
    <row r="77" spans="1:9" hidden="1">
      <c r="A77" s="451" t="s">
        <v>716</v>
      </c>
      <c r="B77" s="17"/>
      <c r="C77" s="17"/>
      <c r="D77" s="224">
        <f t="shared" si="2"/>
        <v>0</v>
      </c>
      <c r="F77" s="1" t="s">
        <v>140</v>
      </c>
      <c r="I77" s="468" t="str">
        <f>IF(D89&lt;&gt;0,"Answer Required","N/A")</f>
        <v>N/A</v>
      </c>
    </row>
    <row r="78" spans="1:9" hidden="1">
      <c r="A78" s="451" t="s">
        <v>717</v>
      </c>
      <c r="B78" s="17"/>
      <c r="C78" s="17"/>
      <c r="D78" s="224">
        <f t="shared" si="2"/>
        <v>0</v>
      </c>
    </row>
    <row r="79" spans="1:9" hidden="1">
      <c r="A79" s="451" t="s">
        <v>718</v>
      </c>
      <c r="B79" s="17"/>
      <c r="C79" s="17"/>
      <c r="D79" s="224">
        <f t="shared" si="2"/>
        <v>0</v>
      </c>
    </row>
    <row r="80" spans="1:9" hidden="1">
      <c r="A80" s="451" t="s">
        <v>719</v>
      </c>
      <c r="B80" s="17"/>
      <c r="C80" s="17"/>
      <c r="D80" s="224">
        <f t="shared" si="2"/>
        <v>0</v>
      </c>
      <c r="E80" s="1" t="s">
        <v>253</v>
      </c>
      <c r="I80" s="469" t="str">
        <f>IF(D89&lt;&gt;0,"Answer Required","N/A")</f>
        <v>N/A</v>
      </c>
    </row>
    <row r="81" spans="1:77" hidden="1">
      <c r="A81" s="451" t="s">
        <v>720</v>
      </c>
      <c r="B81" s="17"/>
      <c r="C81" s="17"/>
      <c r="D81" s="224">
        <f t="shared" si="2"/>
        <v>0</v>
      </c>
    </row>
    <row r="82" spans="1:77" hidden="1">
      <c r="A82" s="451" t="s">
        <v>721</v>
      </c>
      <c r="B82" s="17"/>
      <c r="C82" s="17"/>
      <c r="D82" s="224">
        <f t="shared" si="2"/>
        <v>0</v>
      </c>
    </row>
    <row r="83" spans="1:77" hidden="1">
      <c r="A83" s="451" t="s">
        <v>722</v>
      </c>
      <c r="B83" s="17"/>
      <c r="C83" s="17"/>
      <c r="D83" s="224">
        <f t="shared" si="2"/>
        <v>0</v>
      </c>
    </row>
    <row r="84" spans="1:77">
      <c r="A84" s="99" t="s">
        <v>398</v>
      </c>
      <c r="B84" s="17"/>
      <c r="C84" s="221"/>
      <c r="D84" s="224">
        <f>B84</f>
        <v>0</v>
      </c>
    </row>
    <row r="85" spans="1:77" ht="12.6" customHeight="1">
      <c r="A85" s="99" t="s">
        <v>130</v>
      </c>
      <c r="B85" s="17"/>
      <c r="C85" s="221"/>
      <c r="D85" s="224">
        <f>B85</f>
        <v>0</v>
      </c>
    </row>
    <row r="86" spans="1:77" ht="12.6" hidden="1" customHeight="1">
      <c r="A86" s="99"/>
      <c r="B86" s="292"/>
      <c r="C86" s="293"/>
      <c r="D86" s="224">
        <f t="shared" si="2"/>
        <v>0</v>
      </c>
    </row>
    <row r="87" spans="1:77" ht="22.9" customHeight="1" thickBot="1">
      <c r="A87" s="226" t="s">
        <v>131</v>
      </c>
      <c r="B87" s="18"/>
      <c r="C87" s="291"/>
      <c r="D87" s="241">
        <f>B87</f>
        <v>0</v>
      </c>
    </row>
    <row r="88" spans="1:77">
      <c r="B88" s="8"/>
      <c r="C88" s="8"/>
    </row>
    <row r="89" spans="1:77" ht="12" thickBot="1">
      <c r="A89" s="99" t="s">
        <v>431</v>
      </c>
      <c r="B89" s="227">
        <f>IF(SUM(B67:B87)=('Component Unit Template'!K156+'Component Unit Template'!K175),SUM(B67:B87),"ERROR")</f>
        <v>0</v>
      </c>
      <c r="C89" s="227">
        <f>SUM(C67:C87)</f>
        <v>0</v>
      </c>
      <c r="D89" s="227">
        <f>SUM(D67:D87)</f>
        <v>0</v>
      </c>
    </row>
    <row r="90" spans="1:77" ht="12" thickTop="1">
      <c r="A90" s="137" t="s">
        <v>48</v>
      </c>
      <c r="B90" s="144">
        <f>(SUM(B67:B87))-SUM('Component Unit Template'!K156+'Component Unit Template'!K175)</f>
        <v>0</v>
      </c>
    </row>
    <row r="91" spans="1:77" hidden="1"/>
    <row r="92" spans="1:77" hidden="1"/>
    <row r="93" spans="1:77" hidden="1">
      <c r="A93" s="139"/>
      <c r="B93" s="139"/>
      <c r="C93" s="139"/>
      <c r="D93" s="139"/>
      <c r="E93" s="139"/>
      <c r="F93" s="139"/>
    </row>
    <row r="94" spans="1:77" s="139" customFormat="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row>
    <row r="95" spans="1:77" s="283" customFormat="1" ht="24" customHeight="1">
      <c r="A95" s="358" t="s">
        <v>399</v>
      </c>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row>
    <row r="96" spans="1:77" ht="12.75">
      <c r="A96" s="99" t="s">
        <v>81</v>
      </c>
      <c r="B96" s="138" t="s">
        <v>82</v>
      </c>
      <c r="C96" s="138" t="s">
        <v>83</v>
      </c>
      <c r="D96" s="138" t="s">
        <v>431</v>
      </c>
      <c r="F96" s="480" t="s">
        <v>836</v>
      </c>
    </row>
    <row r="97" spans="1:6">
      <c r="A97" s="156">
        <f>A67</f>
        <v>2025</v>
      </c>
      <c r="B97" s="17"/>
      <c r="C97" s="17"/>
      <c r="D97" s="481">
        <f>IF(B97='Component Unit Template'!K157,SUM(B97:C97),"ERROR")</f>
        <v>0</v>
      </c>
      <c r="F97" s="233">
        <f>(B97)-(C21)</f>
        <v>0</v>
      </c>
    </row>
    <row r="98" spans="1:6">
      <c r="A98" s="156">
        <f>A68</f>
        <v>2026</v>
      </c>
      <c r="B98" s="17"/>
      <c r="C98" s="17"/>
      <c r="D98" s="199">
        <f t="shared" ref="D98:D113" si="3">SUM(B98:C98)</f>
        <v>0</v>
      </c>
    </row>
    <row r="99" spans="1:6">
      <c r="A99" s="156">
        <f t="shared" ref="A99:A102" si="4">A69</f>
        <v>2027</v>
      </c>
      <c r="B99" s="17"/>
      <c r="C99" s="17"/>
      <c r="D99" s="199">
        <f t="shared" si="3"/>
        <v>0</v>
      </c>
    </row>
    <row r="100" spans="1:6">
      <c r="A100" s="156">
        <f t="shared" si="4"/>
        <v>2028</v>
      </c>
      <c r="B100" s="17"/>
      <c r="C100" s="17"/>
      <c r="D100" s="199">
        <f t="shared" si="3"/>
        <v>0</v>
      </c>
    </row>
    <row r="101" spans="1:6">
      <c r="A101" s="156">
        <f t="shared" si="4"/>
        <v>2029</v>
      </c>
      <c r="B101" s="17"/>
      <c r="C101" s="17"/>
      <c r="D101" s="199">
        <f t="shared" si="3"/>
        <v>0</v>
      </c>
    </row>
    <row r="102" spans="1:6">
      <c r="A102" s="156" t="str">
        <f t="shared" si="4"/>
        <v>2030 &amp; Thereafter</v>
      </c>
      <c r="B102" s="17"/>
      <c r="C102" s="17"/>
      <c r="D102" s="199">
        <f t="shared" si="3"/>
        <v>0</v>
      </c>
    </row>
    <row r="103" spans="1:6" hidden="1">
      <c r="A103" s="451" t="s">
        <v>712</v>
      </c>
      <c r="B103" s="17"/>
      <c r="C103" s="17"/>
      <c r="D103" s="199">
        <f t="shared" si="3"/>
        <v>0</v>
      </c>
    </row>
    <row r="104" spans="1:6" hidden="1">
      <c r="A104" s="451" t="s">
        <v>713</v>
      </c>
      <c r="B104" s="17"/>
      <c r="C104" s="17"/>
      <c r="D104" s="199">
        <f t="shared" si="3"/>
        <v>0</v>
      </c>
    </row>
    <row r="105" spans="1:6" hidden="1">
      <c r="A105" s="451" t="s">
        <v>714</v>
      </c>
      <c r="B105" s="17"/>
      <c r="C105" s="17"/>
      <c r="D105" s="199">
        <f t="shared" si="3"/>
        <v>0</v>
      </c>
    </row>
    <row r="106" spans="1:6" hidden="1">
      <c r="A106" s="451" t="s">
        <v>715</v>
      </c>
      <c r="B106" s="17"/>
      <c r="C106" s="17"/>
      <c r="D106" s="199">
        <f t="shared" si="3"/>
        <v>0</v>
      </c>
    </row>
    <row r="107" spans="1:6" hidden="1">
      <c r="A107" s="451" t="s">
        <v>716</v>
      </c>
      <c r="B107" s="17"/>
      <c r="C107" s="17"/>
      <c r="D107" s="199">
        <f t="shared" si="3"/>
        <v>0</v>
      </c>
    </row>
    <row r="108" spans="1:6" hidden="1">
      <c r="A108" s="451" t="s">
        <v>717</v>
      </c>
      <c r="B108" s="17"/>
      <c r="C108" s="17"/>
      <c r="D108" s="199">
        <f t="shared" si="3"/>
        <v>0</v>
      </c>
    </row>
    <row r="109" spans="1:6" hidden="1">
      <c r="A109" s="451" t="s">
        <v>718</v>
      </c>
      <c r="B109" s="17"/>
      <c r="C109" s="17"/>
      <c r="D109" s="199">
        <f t="shared" si="3"/>
        <v>0</v>
      </c>
    </row>
    <row r="110" spans="1:6" hidden="1">
      <c r="A110" s="451" t="s">
        <v>719</v>
      </c>
      <c r="B110" s="17"/>
      <c r="C110" s="17"/>
      <c r="D110" s="199">
        <f t="shared" si="3"/>
        <v>0</v>
      </c>
    </row>
    <row r="111" spans="1:6" hidden="1">
      <c r="A111" s="451" t="s">
        <v>720</v>
      </c>
      <c r="B111" s="17"/>
      <c r="C111" s="17"/>
      <c r="D111" s="199">
        <f t="shared" si="3"/>
        <v>0</v>
      </c>
    </row>
    <row r="112" spans="1:6" hidden="1">
      <c r="A112" s="451" t="s">
        <v>721</v>
      </c>
      <c r="B112" s="17"/>
      <c r="C112" s="17"/>
      <c r="D112" s="199">
        <f t="shared" si="3"/>
        <v>0</v>
      </c>
    </row>
    <row r="113" spans="1:9" ht="12" hidden="1" thickBot="1">
      <c r="A113" s="451" t="s">
        <v>722</v>
      </c>
      <c r="B113" s="182"/>
      <c r="C113" s="18"/>
      <c r="D113" s="242">
        <f t="shared" si="3"/>
        <v>0</v>
      </c>
    </row>
    <row r="114" spans="1:9" ht="12" thickBot="1">
      <c r="A114" s="99" t="s">
        <v>431</v>
      </c>
      <c r="B114" s="228">
        <f>IF(SUM(B97:B113)=('Component Unit Template'!K157+'Component Unit Template'!K176),SUM(B97:B113),"ERROR")</f>
        <v>0</v>
      </c>
      <c r="C114" s="228">
        <f>SUM(C97:C113)</f>
        <v>0</v>
      </c>
      <c r="D114" s="228">
        <f>SUM(D97:D113)</f>
        <v>0</v>
      </c>
    </row>
    <row r="115" spans="1:9" ht="12" thickTop="1">
      <c r="A115" s="137" t="s">
        <v>48</v>
      </c>
      <c r="B115" s="144">
        <f>(SUM(B97:B113))-(SUM('Component Unit Template'!K157+'Component Unit Template'!K176))</f>
        <v>0</v>
      </c>
    </row>
    <row r="116" spans="1:9">
      <c r="A116" s="222"/>
      <c r="B116" s="229"/>
      <c r="C116" s="139"/>
      <c r="D116" s="139"/>
      <c r="E116" s="139"/>
      <c r="F116" s="139"/>
      <c r="G116" s="139"/>
      <c r="H116" s="139"/>
    </row>
    <row r="117" spans="1:9" ht="19.5" hidden="1" customHeight="1">
      <c r="A117" s="12"/>
    </row>
    <row r="118" spans="1:9" ht="12" hidden="1">
      <c r="A118" s="49" t="s">
        <v>466</v>
      </c>
      <c r="D118" s="1" t="s">
        <v>537</v>
      </c>
    </row>
    <row r="119" spans="1:9" ht="22.5" hidden="1">
      <c r="A119" s="99" t="s">
        <v>100</v>
      </c>
      <c r="B119" s="138" t="s">
        <v>101</v>
      </c>
      <c r="H119" s="155" t="s">
        <v>375</v>
      </c>
    </row>
    <row r="120" spans="1:9" ht="12" hidden="1">
      <c r="A120" s="156">
        <f t="shared" ref="A120:A125" si="5">A67</f>
        <v>2025</v>
      </c>
      <c r="B120" s="17"/>
      <c r="E120" s="138" t="s">
        <v>507</v>
      </c>
      <c r="F120" s="138" t="s">
        <v>508</v>
      </c>
      <c r="G120" s="138" t="s">
        <v>374</v>
      </c>
      <c r="H120" s="265" t="str">
        <f>IF(H121="","","ANSWER Required")</f>
        <v/>
      </c>
      <c r="I120" s="138" t="s">
        <v>431</v>
      </c>
    </row>
    <row r="121" spans="1:9" hidden="1">
      <c r="A121" s="156">
        <f t="shared" si="5"/>
        <v>2026</v>
      </c>
      <c r="B121" s="17"/>
      <c r="D121" s="1" t="s">
        <v>129</v>
      </c>
      <c r="E121" s="17"/>
      <c r="F121" s="17"/>
      <c r="G121" s="17"/>
      <c r="H121" s="17"/>
      <c r="I121" s="199">
        <f>SUM(E121:H121)</f>
        <v>0</v>
      </c>
    </row>
    <row r="122" spans="1:9" ht="34.5" hidden="1" thickBot="1">
      <c r="A122" s="156">
        <f t="shared" si="5"/>
        <v>2027</v>
      </c>
      <c r="B122" s="17"/>
      <c r="D122" s="230" t="s">
        <v>218</v>
      </c>
      <c r="E122" s="18"/>
      <c r="F122" s="18"/>
      <c r="G122" s="18"/>
      <c r="H122" s="18"/>
      <c r="I122" s="199">
        <f>SUM(E122:H122)</f>
        <v>0</v>
      </c>
    </row>
    <row r="123" spans="1:9" ht="12" hidden="1" thickBot="1">
      <c r="A123" s="156">
        <f t="shared" si="5"/>
        <v>2028</v>
      </c>
      <c r="B123" s="17"/>
      <c r="E123" s="198">
        <f>SUM(E121:E122)</f>
        <v>0</v>
      </c>
      <c r="F123" s="198">
        <f>SUM(F121:F122)</f>
        <v>0</v>
      </c>
      <c r="G123" s="198">
        <f>SUM(G121:G122)</f>
        <v>0</v>
      </c>
      <c r="H123" s="198">
        <f>SUM(H121:H122)</f>
        <v>0</v>
      </c>
      <c r="I123" s="248">
        <f>SUM(I121:I122)</f>
        <v>0</v>
      </c>
    </row>
    <row r="124" spans="1:9" ht="12" hidden="1" thickTop="1">
      <c r="A124" s="156">
        <f t="shared" si="5"/>
        <v>2029</v>
      </c>
      <c r="B124" s="17"/>
    </row>
    <row r="125" spans="1:9" hidden="1">
      <c r="A125" s="156" t="str">
        <f t="shared" si="5"/>
        <v>2030 &amp; Thereafter</v>
      </c>
      <c r="B125" s="17"/>
    </row>
    <row r="126" spans="1:9" hidden="1">
      <c r="A126" s="451" t="s">
        <v>712</v>
      </c>
      <c r="B126" s="17"/>
    </row>
    <row r="127" spans="1:9" hidden="1">
      <c r="A127" s="451" t="s">
        <v>713</v>
      </c>
      <c r="B127" s="17"/>
    </row>
    <row r="128" spans="1:9" hidden="1">
      <c r="A128" s="451" t="s">
        <v>714</v>
      </c>
      <c r="B128" s="17"/>
    </row>
    <row r="129" spans="1:6" hidden="1">
      <c r="A129" s="451" t="s">
        <v>715</v>
      </c>
      <c r="B129" s="17"/>
    </row>
    <row r="130" spans="1:6" hidden="1">
      <c r="A130" s="451" t="s">
        <v>716</v>
      </c>
      <c r="B130" s="17"/>
    </row>
    <row r="131" spans="1:6" hidden="1">
      <c r="A131" s="451" t="s">
        <v>717</v>
      </c>
      <c r="B131" s="19"/>
    </row>
    <row r="132" spans="1:6" hidden="1">
      <c r="A132" s="451" t="s">
        <v>796</v>
      </c>
      <c r="B132" s="17"/>
    </row>
    <row r="133" spans="1:6" hidden="1">
      <c r="A133" s="451" t="s">
        <v>797</v>
      </c>
      <c r="B133" s="17"/>
    </row>
    <row r="134" spans="1:6" hidden="1">
      <c r="A134" s="451" t="s">
        <v>720</v>
      </c>
      <c r="B134" s="17"/>
    </row>
    <row r="135" spans="1:6" hidden="1">
      <c r="A135" s="451" t="s">
        <v>721</v>
      </c>
      <c r="B135" s="17"/>
    </row>
    <row r="136" spans="1:6" hidden="1">
      <c r="A136" s="451" t="s">
        <v>722</v>
      </c>
      <c r="B136" s="20"/>
      <c r="D136" s="155"/>
    </row>
    <row r="137" spans="1:6" hidden="1">
      <c r="A137" s="99" t="s">
        <v>102</v>
      </c>
      <c r="B137" s="158">
        <f>SUM(B120:B136)</f>
        <v>0</v>
      </c>
      <c r="D137" s="386"/>
      <c r="E137" s="387"/>
      <c r="F137" s="249"/>
    </row>
    <row r="138" spans="1:6" hidden="1">
      <c r="A138" s="99" t="s">
        <v>103</v>
      </c>
      <c r="B138" s="17">
        <v>0</v>
      </c>
    </row>
    <row r="139" spans="1:6" ht="22.5" hidden="1" customHeight="1">
      <c r="A139" s="99" t="s">
        <v>104</v>
      </c>
      <c r="B139" s="158">
        <f>SUM(B137:B138)</f>
        <v>0</v>
      </c>
      <c r="D139" s="243"/>
      <c r="E139" s="243"/>
      <c r="F139" s="243"/>
    </row>
    <row r="140" spans="1:6" hidden="1">
      <c r="A140" s="99" t="s">
        <v>105</v>
      </c>
      <c r="B140" s="17">
        <v>0</v>
      </c>
      <c r="D140" s="243"/>
      <c r="E140" s="243"/>
      <c r="F140" s="243"/>
    </row>
    <row r="141" spans="1:6" ht="12" hidden="1" thickBot="1">
      <c r="A141" s="99" t="s">
        <v>106</v>
      </c>
      <c r="B141" s="231"/>
      <c r="C141" s="232"/>
      <c r="D141" s="388"/>
      <c r="E141" s="388"/>
      <c r="F141" s="388"/>
    </row>
    <row r="142" spans="1:6" ht="12" hidden="1" thickTop="1">
      <c r="A142" s="137" t="s">
        <v>48</v>
      </c>
      <c r="B142" s="136"/>
      <c r="D142" s="388"/>
      <c r="E142" s="388"/>
      <c r="F142" s="388"/>
    </row>
    <row r="143" spans="1:6" hidden="1">
      <c r="A143" s="139"/>
      <c r="B143" s="139"/>
      <c r="C143" s="139"/>
      <c r="D143" s="139"/>
      <c r="E143" s="139"/>
      <c r="F143" s="139"/>
    </row>
    <row r="144" spans="1:6">
      <c r="A144" s="12"/>
    </row>
    <row r="145" spans="1:6" ht="12">
      <c r="A145" s="49" t="s">
        <v>853</v>
      </c>
    </row>
    <row r="146" spans="1:6" ht="12.75">
      <c r="A146" s="99" t="s">
        <v>81</v>
      </c>
      <c r="B146" s="138" t="s">
        <v>82</v>
      </c>
      <c r="C146" s="138" t="s">
        <v>83</v>
      </c>
      <c r="D146" s="138" t="s">
        <v>431</v>
      </c>
      <c r="F146" s="480" t="s">
        <v>836</v>
      </c>
    </row>
    <row r="147" spans="1:6">
      <c r="A147" s="156">
        <f t="shared" ref="A147:A152" si="6">A67</f>
        <v>2025</v>
      </c>
      <c r="B147" s="17"/>
      <c r="C147" s="17"/>
      <c r="D147" s="199">
        <f>IF(B147='Component Unit Template'!K159,SUM(B147:C147),"ERROR")</f>
        <v>0</v>
      </c>
      <c r="F147" s="233">
        <f>(B147)-(C23)</f>
        <v>0</v>
      </c>
    </row>
    <row r="148" spans="1:6">
      <c r="A148" s="156">
        <f t="shared" si="6"/>
        <v>2026</v>
      </c>
      <c r="B148" s="17"/>
      <c r="C148" s="17"/>
      <c r="D148" s="199">
        <f t="shared" ref="D148:D163" si="7">SUM(B148:C148)</f>
        <v>0</v>
      </c>
    </row>
    <row r="149" spans="1:6">
      <c r="A149" s="156">
        <f t="shared" si="6"/>
        <v>2027</v>
      </c>
      <c r="B149" s="17"/>
      <c r="C149" s="17"/>
      <c r="D149" s="199">
        <f t="shared" si="7"/>
        <v>0</v>
      </c>
    </row>
    <row r="150" spans="1:6">
      <c r="A150" s="156">
        <f t="shared" si="6"/>
        <v>2028</v>
      </c>
      <c r="B150" s="17"/>
      <c r="C150" s="17"/>
      <c r="D150" s="199">
        <f t="shared" si="7"/>
        <v>0</v>
      </c>
    </row>
    <row r="151" spans="1:6">
      <c r="A151" s="156">
        <f t="shared" si="6"/>
        <v>2029</v>
      </c>
      <c r="B151" s="17"/>
      <c r="C151" s="17"/>
      <c r="D151" s="199">
        <f t="shared" si="7"/>
        <v>0</v>
      </c>
    </row>
    <row r="152" spans="1:6">
      <c r="A152" s="156" t="str">
        <f t="shared" si="6"/>
        <v>2030 &amp; Thereafter</v>
      </c>
      <c r="B152" s="17"/>
      <c r="C152" s="17"/>
      <c r="D152" s="199">
        <f t="shared" si="7"/>
        <v>0</v>
      </c>
    </row>
    <row r="153" spans="1:6" hidden="1">
      <c r="A153" s="451" t="s">
        <v>712</v>
      </c>
      <c r="B153" s="17"/>
      <c r="C153" s="17"/>
      <c r="D153" s="199">
        <f t="shared" si="7"/>
        <v>0</v>
      </c>
    </row>
    <row r="154" spans="1:6" hidden="1">
      <c r="A154" s="451" t="s">
        <v>713</v>
      </c>
      <c r="B154" s="17"/>
      <c r="C154" s="17"/>
      <c r="D154" s="199">
        <f t="shared" si="7"/>
        <v>0</v>
      </c>
    </row>
    <row r="155" spans="1:6" hidden="1">
      <c r="A155" s="451" t="s">
        <v>714</v>
      </c>
      <c r="B155" s="17"/>
      <c r="C155" s="17"/>
      <c r="D155" s="199">
        <f t="shared" si="7"/>
        <v>0</v>
      </c>
    </row>
    <row r="156" spans="1:6" hidden="1">
      <c r="A156" s="451" t="s">
        <v>715</v>
      </c>
      <c r="B156" s="17"/>
      <c r="C156" s="17"/>
      <c r="D156" s="199">
        <f t="shared" si="7"/>
        <v>0</v>
      </c>
    </row>
    <row r="157" spans="1:6" hidden="1">
      <c r="A157" s="451" t="s">
        <v>716</v>
      </c>
      <c r="B157" s="17"/>
      <c r="C157" s="17"/>
      <c r="D157" s="199">
        <f t="shared" si="7"/>
        <v>0</v>
      </c>
    </row>
    <row r="158" spans="1:6" hidden="1">
      <c r="A158" s="451" t="s">
        <v>717</v>
      </c>
      <c r="B158" s="17"/>
      <c r="C158" s="17"/>
      <c r="D158" s="199">
        <f t="shared" si="7"/>
        <v>0</v>
      </c>
    </row>
    <row r="159" spans="1:6" hidden="1">
      <c r="A159" s="451" t="s">
        <v>718</v>
      </c>
      <c r="B159" s="17"/>
      <c r="C159" s="17"/>
      <c r="D159" s="199">
        <f t="shared" si="7"/>
        <v>0</v>
      </c>
    </row>
    <row r="160" spans="1:6" hidden="1">
      <c r="A160" s="451" t="s">
        <v>719</v>
      </c>
      <c r="B160" s="17"/>
      <c r="C160" s="17"/>
      <c r="D160" s="199">
        <f t="shared" si="7"/>
        <v>0</v>
      </c>
    </row>
    <row r="161" spans="1:12" hidden="1">
      <c r="A161" s="451" t="s">
        <v>720</v>
      </c>
      <c r="B161" s="17"/>
      <c r="C161" s="17"/>
      <c r="D161" s="199">
        <f t="shared" si="7"/>
        <v>0</v>
      </c>
    </row>
    <row r="162" spans="1:12" hidden="1">
      <c r="A162" s="451" t="s">
        <v>721</v>
      </c>
      <c r="B162" s="17"/>
      <c r="C162" s="17"/>
      <c r="D162" s="199">
        <f t="shared" si="7"/>
        <v>0</v>
      </c>
    </row>
    <row r="163" spans="1:12" ht="12" hidden="1" thickBot="1">
      <c r="A163" s="451" t="s">
        <v>722</v>
      </c>
      <c r="B163" s="182"/>
      <c r="C163" s="182"/>
      <c r="D163" s="242">
        <f t="shared" si="7"/>
        <v>0</v>
      </c>
    </row>
    <row r="164" spans="1:12" ht="12" thickBot="1">
      <c r="A164" s="99" t="s">
        <v>431</v>
      </c>
      <c r="B164" s="228">
        <f>IF(SUM(B147:B163)=('Component Unit Template'!K159+'Component Unit Template'!K178),SUM(B147:B163),"ERROR")</f>
        <v>0</v>
      </c>
      <c r="C164" s="228">
        <f>SUM(C147:C163)</f>
        <v>0</v>
      </c>
      <c r="D164" s="228">
        <f>SUM(D147:D163)</f>
        <v>0</v>
      </c>
    </row>
    <row r="165" spans="1:12" ht="12" thickTop="1">
      <c r="A165" s="137" t="s">
        <v>48</v>
      </c>
      <c r="B165" s="233">
        <f>(SUM(B147:B163))-SUM('Component Unit Template'!K159+'Component Unit Template'!K178)</f>
        <v>0</v>
      </c>
      <c r="C165" s="89"/>
      <c r="D165" s="89"/>
    </row>
    <row r="166" spans="1:12" hidden="1">
      <c r="A166" s="151" t="s">
        <v>496</v>
      </c>
      <c r="B166" s="89"/>
      <c r="C166" s="89"/>
      <c r="D166" s="89"/>
    </row>
    <row r="167" spans="1:12" ht="39" hidden="1" customHeight="1">
      <c r="A167" s="754" t="s">
        <v>597</v>
      </c>
      <c r="B167" s="754"/>
      <c r="C167" s="754"/>
      <c r="D167" s="754"/>
      <c r="E167" s="754"/>
      <c r="F167" s="754"/>
      <c r="G167" s="754"/>
      <c r="H167" s="120"/>
      <c r="I167" s="120"/>
    </row>
    <row r="168" spans="1:12" ht="12.75" hidden="1" customHeight="1">
      <c r="A168" s="745"/>
      <c r="B168" s="746"/>
      <c r="C168" s="746"/>
      <c r="D168" s="746"/>
      <c r="E168" s="746"/>
      <c r="F168" s="746"/>
      <c r="G168" s="747"/>
      <c r="H168" s="308"/>
      <c r="I168" s="308"/>
      <c r="J168" s="308"/>
      <c r="K168" s="308"/>
      <c r="L168" s="120"/>
    </row>
    <row r="169" spans="1:12" ht="12.75" hidden="1" customHeight="1">
      <c r="A169" s="748"/>
      <c r="B169" s="749"/>
      <c r="C169" s="749"/>
      <c r="D169" s="749"/>
      <c r="E169" s="749"/>
      <c r="F169" s="749"/>
      <c r="G169" s="750"/>
      <c r="H169" s="308"/>
      <c r="I169" s="308"/>
      <c r="J169" s="308"/>
      <c r="K169" s="308"/>
      <c r="L169" s="120"/>
    </row>
    <row r="170" spans="1:12" ht="12.75" hidden="1" customHeight="1">
      <c r="A170" s="748"/>
      <c r="B170" s="749"/>
      <c r="C170" s="749"/>
      <c r="D170" s="749"/>
      <c r="E170" s="749"/>
      <c r="F170" s="749"/>
      <c r="G170" s="750"/>
      <c r="H170" s="308"/>
      <c r="I170" s="308"/>
      <c r="J170" s="308"/>
      <c r="K170" s="308"/>
      <c r="L170" s="120"/>
    </row>
    <row r="171" spans="1:12" ht="12.75" hidden="1" customHeight="1">
      <c r="A171" s="748"/>
      <c r="B171" s="749"/>
      <c r="C171" s="749"/>
      <c r="D171" s="749"/>
      <c r="E171" s="749"/>
      <c r="F171" s="749"/>
      <c r="G171" s="750"/>
      <c r="H171" s="308"/>
      <c r="I171" s="308"/>
      <c r="J171" s="308"/>
      <c r="K171" s="308"/>
      <c r="L171" s="120"/>
    </row>
    <row r="172" spans="1:12" ht="12.75" hidden="1" customHeight="1">
      <c r="A172" s="751"/>
      <c r="B172" s="752"/>
      <c r="C172" s="752"/>
      <c r="D172" s="752"/>
      <c r="E172" s="752"/>
      <c r="F172" s="752"/>
      <c r="G172" s="753"/>
      <c r="H172" s="308"/>
      <c r="I172" s="308"/>
      <c r="J172" s="308"/>
      <c r="K172" s="308"/>
      <c r="L172" s="120"/>
    </row>
    <row r="173" spans="1:12" ht="12.75" hidden="1">
      <c r="A173" s="120"/>
      <c r="B173" s="120"/>
      <c r="C173" s="120"/>
      <c r="D173" s="120"/>
      <c r="E173" s="120"/>
      <c r="F173" s="120"/>
      <c r="G173" s="120"/>
      <c r="H173" s="120"/>
      <c r="I173" s="120"/>
      <c r="J173" s="120"/>
      <c r="K173" s="120"/>
      <c r="L173" s="120"/>
    </row>
    <row r="174" spans="1:12" hidden="1">
      <c r="A174" s="234"/>
      <c r="B174" s="234"/>
      <c r="C174" s="234"/>
      <c r="D174" s="234"/>
      <c r="E174" s="234"/>
    </row>
    <row r="175" spans="1:12" ht="21" hidden="1">
      <c r="A175" s="234" t="s">
        <v>402</v>
      </c>
      <c r="B175" s="234"/>
      <c r="C175" s="234"/>
      <c r="D175" s="234"/>
      <c r="E175" s="234"/>
    </row>
    <row r="176" spans="1:12" ht="97.5" hidden="1" customHeight="1">
      <c r="A176" s="754" t="s">
        <v>626</v>
      </c>
      <c r="B176" s="754"/>
      <c r="C176" s="754"/>
      <c r="D176" s="754"/>
      <c r="E176" s="754"/>
      <c r="F176" s="754"/>
      <c r="G176" s="754"/>
      <c r="H176" s="120"/>
      <c r="I176" s="120"/>
      <c r="J176" s="126"/>
      <c r="K176" s="126"/>
    </row>
    <row r="177" spans="1:12" ht="11.25" hidden="1" customHeight="1">
      <c r="A177" s="745"/>
      <c r="B177" s="746"/>
      <c r="C177" s="746"/>
      <c r="D177" s="746"/>
      <c r="E177" s="746"/>
      <c r="F177" s="746"/>
      <c r="G177" s="747"/>
      <c r="H177" s="120"/>
      <c r="I177" s="120"/>
      <c r="J177" s="120"/>
      <c r="K177" s="120"/>
    </row>
    <row r="178" spans="1:12" ht="11.25" hidden="1" customHeight="1">
      <c r="A178" s="748"/>
      <c r="B178" s="749"/>
      <c r="C178" s="749"/>
      <c r="D178" s="749"/>
      <c r="E178" s="749"/>
      <c r="F178" s="749"/>
      <c r="G178" s="750"/>
      <c r="H178" s="120"/>
      <c r="I178" s="120"/>
      <c r="J178" s="120"/>
      <c r="K178" s="120"/>
    </row>
    <row r="179" spans="1:12" ht="11.25" hidden="1" customHeight="1">
      <c r="A179" s="748"/>
      <c r="B179" s="749"/>
      <c r="C179" s="749"/>
      <c r="D179" s="749"/>
      <c r="E179" s="749"/>
      <c r="F179" s="749"/>
      <c r="G179" s="750"/>
      <c r="H179" s="120"/>
      <c r="I179" s="120"/>
      <c r="J179" s="120"/>
      <c r="K179" s="120"/>
    </row>
    <row r="180" spans="1:12" ht="11.25" hidden="1" customHeight="1">
      <c r="A180" s="748"/>
      <c r="B180" s="749"/>
      <c r="C180" s="749"/>
      <c r="D180" s="749"/>
      <c r="E180" s="749"/>
      <c r="F180" s="749"/>
      <c r="G180" s="750"/>
      <c r="H180" s="120"/>
      <c r="I180" s="120"/>
      <c r="J180" s="120"/>
      <c r="K180" s="120"/>
    </row>
    <row r="181" spans="1:12" ht="11.25" hidden="1" customHeight="1">
      <c r="A181" s="751"/>
      <c r="B181" s="752"/>
      <c r="C181" s="752"/>
      <c r="D181" s="752"/>
      <c r="E181" s="752"/>
      <c r="F181" s="752"/>
      <c r="G181" s="753"/>
      <c r="H181" s="120"/>
      <c r="I181" s="120"/>
      <c r="J181" s="120"/>
      <c r="K181" s="120"/>
    </row>
    <row r="182" spans="1:12">
      <c r="A182" s="518"/>
      <c r="B182" s="518"/>
      <c r="C182" s="518"/>
      <c r="D182" s="518"/>
      <c r="E182" s="518"/>
      <c r="F182" s="139"/>
      <c r="G182" s="139"/>
      <c r="H182" s="139"/>
    </row>
    <row r="183" spans="1:12" ht="12">
      <c r="A183" s="49" t="s">
        <v>854</v>
      </c>
    </row>
    <row r="184" spans="1:12">
      <c r="A184" s="1" t="s">
        <v>247</v>
      </c>
    </row>
    <row r="185" spans="1:12" ht="12">
      <c r="A185" s="735" t="str">
        <f>IF(OR($B$31&gt;0,$B$31&lt;0),"Answer Required","N/A")</f>
        <v>N/A</v>
      </c>
      <c r="B185" s="736"/>
      <c r="C185" s="736"/>
      <c r="D185" s="736"/>
      <c r="E185" s="736"/>
      <c r="F185" s="736"/>
      <c r="G185" s="737"/>
      <c r="H185" s="260"/>
      <c r="I185" s="260"/>
      <c r="J185" s="260"/>
      <c r="K185" s="260"/>
      <c r="L185" s="316"/>
    </row>
    <row r="186" spans="1:12" ht="12">
      <c r="A186" s="738"/>
      <c r="B186" s="739"/>
      <c r="C186" s="739"/>
      <c r="D186" s="739"/>
      <c r="E186" s="739"/>
      <c r="F186" s="739"/>
      <c r="G186" s="740"/>
      <c r="H186" s="260"/>
      <c r="I186" s="260"/>
      <c r="J186" s="260"/>
      <c r="K186" s="260"/>
      <c r="L186" s="316"/>
    </row>
    <row r="187" spans="1:12">
      <c r="A187" s="738"/>
      <c r="B187" s="739"/>
      <c r="C187" s="739"/>
      <c r="D187" s="739"/>
      <c r="E187" s="739"/>
      <c r="F187" s="739"/>
      <c r="G187" s="740"/>
    </row>
    <row r="188" spans="1:12" ht="12">
      <c r="A188" s="738"/>
      <c r="B188" s="739"/>
      <c r="C188" s="739"/>
      <c r="D188" s="739"/>
      <c r="E188" s="739"/>
      <c r="F188" s="739"/>
      <c r="G188" s="740"/>
      <c r="H188" s="260"/>
      <c r="I188" s="260"/>
      <c r="J188" s="260"/>
      <c r="K188" s="260"/>
      <c r="L188" s="316"/>
    </row>
    <row r="189" spans="1:12" ht="12">
      <c r="A189" s="738"/>
      <c r="B189" s="739"/>
      <c r="C189" s="739"/>
      <c r="D189" s="739"/>
      <c r="E189" s="739"/>
      <c r="F189" s="739"/>
      <c r="G189" s="740"/>
      <c r="H189" s="260"/>
      <c r="I189" s="260"/>
      <c r="J189" s="260"/>
      <c r="K189" s="260"/>
      <c r="L189" s="316"/>
    </row>
    <row r="190" spans="1:12" ht="12">
      <c r="A190" s="741"/>
      <c r="B190" s="742"/>
      <c r="C190" s="742"/>
      <c r="D190" s="742"/>
      <c r="E190" s="742"/>
      <c r="F190" s="742"/>
      <c r="G190" s="743"/>
      <c r="H190" s="316"/>
      <c r="I190" s="316"/>
      <c r="J190" s="316"/>
      <c r="K190" s="316"/>
      <c r="L190" s="316"/>
    </row>
  </sheetData>
  <sheetProtection algorithmName="SHA-512" hashValue="8OfEA/WzCut8bvrH6usCbzIY/zFOvBkvhyV8FaLdjCHURVPCiQO2CeV5YDWElFUlx+8/xTHdAgdJM8UGmt7TLQ==" saltValue="1PuesmVvRmyShDpywlmAcw==" spinCount="100000" sheet="1" objects="1" scenarios="1"/>
  <customSheetViews>
    <customSheetView guid="{21549FED-0843-409C-B56D-2EB16B98EF5E}" showGridLines="0" hiddenRows="1" hiddenColumns="1">
      <selection activeCell="B3" sqref="B3:F3"/>
      <rowBreaks count="3" manualBreakCount="3">
        <brk id="116" max="8" man="1"/>
        <brk id="189" max="8" man="1"/>
        <brk id="203" max="16383" man="1"/>
      </rowBreaks>
      <pageMargins left="0.61" right="0.28000000000000003" top="0.63" bottom="0.56999999999999995" header="0.25" footer="0.36"/>
      <pageSetup scale="55" orientation="portrait" cellComments="asDisplayed" r:id="rId1"/>
      <headerFooter alignWithMargins="0">
        <oddHeader>&amp;C&amp;"Times New Roman,Bold"Attachment CU4 - FASB Foundations
Financial Statement Template (FST)
&amp;A</oddHeader>
        <oddFooter>&amp;L&amp;"Times New Roman,Regular"&amp;F \ &amp;A&amp;R&amp;"Times New Roman,Regular" &amp;P</oddFooter>
      </headerFooter>
    </customSheetView>
    <customSheetView guid="{83B11BDE-9087-4120-8F71-87939A6C277C}" showPageBreaks="1" showGridLines="0" printArea="1" hiddenRows="1">
      <selection activeCell="F38" sqref="F38"/>
      <rowBreaks count="3" manualBreakCount="3">
        <brk id="89" max="8" man="1"/>
        <brk id="188" max="8" man="1"/>
        <brk id="202" max="16383" man="1"/>
      </rowBreaks>
      <colBreaks count="1" manualBreakCount="1">
        <brk id="9" max="188" man="1"/>
      </colBreaks>
      <pageMargins left="0.61" right="0.28000000000000003" top="0.63" bottom="0.56999999999999995" header="0.25" footer="0.36"/>
      <pageSetup scale="58" orientation="portrait" cellComments="asDisplayed" r:id="rId2"/>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5A69DEB5-9E8B-40C6-849E-49B804F6ED86}" showGridLines="0" hiddenRows="1">
      <selection activeCell="F38" sqref="F38"/>
      <rowBreaks count="3" manualBreakCount="3">
        <brk id="89" max="8" man="1"/>
        <brk id="188" max="8" man="1"/>
        <brk id="202" max="16383" man="1"/>
      </rowBreaks>
      <colBreaks count="1" manualBreakCount="1">
        <brk id="9" max="188" man="1"/>
      </colBreaks>
      <pageMargins left="0.61" right="0.28000000000000003" top="0.63" bottom="0.56999999999999995" header="0.25" footer="0.36"/>
      <pageSetup scale="58" orientation="portrait" cellComments="asDisplayed" r:id="rId3"/>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C3905544-E3E5-4318-8AA2-F7DE16A9B8E7}" showGridLines="0" hiddenRows="1">
      <selection activeCell="F38" sqref="F38"/>
      <rowBreaks count="3" manualBreakCount="3">
        <brk id="89" max="8" man="1"/>
        <brk id="188" max="8" man="1"/>
        <brk id="202" max="16383" man="1"/>
      </rowBreaks>
      <colBreaks count="1" manualBreakCount="1">
        <brk id="9" max="188" man="1"/>
      </colBreaks>
      <pageMargins left="0.61" right="0.28000000000000003" top="0.63" bottom="0.56999999999999995" header="0.25" footer="0.36"/>
      <pageSetup scale="58" orientation="portrait" cellComments="asDisplayed" r:id="rId4"/>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s>
  <mergeCells count="15">
    <mergeCell ref="A185:G190"/>
    <mergeCell ref="A11:F13"/>
    <mergeCell ref="A177:G181"/>
    <mergeCell ref="A176:G176"/>
    <mergeCell ref="B1:F1"/>
    <mergeCell ref="B2:F2"/>
    <mergeCell ref="B3:F3"/>
    <mergeCell ref="B4:F4"/>
    <mergeCell ref="B5:F5"/>
    <mergeCell ref="B6:F6"/>
    <mergeCell ref="F37:I37"/>
    <mergeCell ref="A57:F57"/>
    <mergeCell ref="A168:G172"/>
    <mergeCell ref="A167:G167"/>
    <mergeCell ref="A34:G34"/>
  </mergeCells>
  <phoneticPr fontId="26" type="noConversion"/>
  <conditionalFormatting sqref="A185:G190">
    <cfRule type="cellIs" dxfId="25" priority="1" operator="equal">
      <formula>"Answer Required"</formula>
    </cfRule>
  </conditionalFormatting>
  <conditionalFormatting sqref="D140:F142">
    <cfRule type="cellIs" dxfId="24" priority="2" operator="equal">
      <formula>"Answer Required"</formula>
    </cfRule>
  </conditionalFormatting>
  <conditionalFormatting sqref="H120">
    <cfRule type="cellIs" dxfId="23" priority="5" operator="equal">
      <formula>"Answer Required"</formula>
    </cfRule>
  </conditionalFormatting>
  <conditionalFormatting sqref="I65">
    <cfRule type="cellIs" dxfId="22" priority="11" operator="equal">
      <formula>"Answer Required"</formula>
    </cfRule>
  </conditionalFormatting>
  <conditionalFormatting sqref="I68">
    <cfRule type="cellIs" dxfId="21" priority="4" operator="equal">
      <formula>"Answer Required"</formula>
    </cfRule>
  </conditionalFormatting>
  <conditionalFormatting sqref="I72:I73">
    <cfRule type="cellIs" dxfId="20" priority="8" operator="equal">
      <formula>"Answer Required"</formula>
    </cfRule>
  </conditionalFormatting>
  <conditionalFormatting sqref="I76:I77">
    <cfRule type="cellIs" dxfId="19" priority="6" operator="equal">
      <formula>"Answer Required"</formula>
    </cfRule>
  </conditionalFormatting>
  <conditionalFormatting sqref="I80">
    <cfRule type="cellIs" dxfId="18" priority="3" operator="equal">
      <formula>"Answer Required"</formula>
    </cfRule>
  </conditionalFormatting>
  <dataValidations xWindow="325" yWindow="751" count="20">
    <dataValidation allowBlank="1" showInputMessage="1" errorTitle="Enter a date" sqref="I76:I77" xr:uid="{00000000-0002-0000-0700-000000000000}"/>
    <dataValidation type="whole" allowBlank="1" showInputMessage="1" showErrorMessage="1" sqref="H33:H34 C31 C20:D26" xr:uid="{00000000-0002-0000-0700-000001000000}">
      <formula1>0</formula1>
      <formula2>9.99999999999999E+23</formula2>
    </dataValidation>
    <dataValidation type="whole" allowBlank="1" showInputMessage="1" showErrorMessage="1" sqref="C164:C166 C114 D147:D166 D98:D114" xr:uid="{00000000-0002-0000-0700-000002000000}">
      <formula1>0</formula1>
      <formula2>99999999999999900000</formula2>
    </dataValidation>
    <dataValidation type="whole" allowBlank="1" showErrorMessage="1" prompt="_x000a_" sqref="B114 B164:B166" xr:uid="{00000000-0002-0000-0700-000003000000}">
      <formula1>0</formula1>
      <formula2>99999999999999900000</formula2>
    </dataValidation>
    <dataValidation type="whole" allowBlank="1" showInputMessage="1" showErrorMessage="1" sqref="I121 E123:I123" xr:uid="{00000000-0002-0000-0700-000004000000}">
      <formula1>0</formula1>
      <formula2>9999999999999990</formula2>
    </dataValidation>
    <dataValidation type="whole" allowBlank="1" showInputMessage="1" showErrorMessage="1" sqref="I122" xr:uid="{00000000-0002-0000-0700-000005000000}">
      <formula1>-99999999999999</formula1>
      <formula2>9999999999999990</formula2>
    </dataValidation>
    <dataValidation allowBlank="1" showErrorMessage="1" prompt="_x000a_" sqref="B141" xr:uid="{00000000-0002-0000-0700-000006000000}"/>
    <dataValidation type="whole" allowBlank="1" showInputMessage="1" showErrorMessage="1" sqref="D85:D87" xr:uid="{00000000-0002-0000-0700-000007000000}">
      <formula1>-99999999999999900</formula1>
      <formula2>999999999999999000</formula2>
    </dataValidation>
    <dataValidation allowBlank="1" showErrorMessage="1" sqref="B89" xr:uid="{00000000-0002-0000-0700-000008000000}"/>
    <dataValidation type="whole" allowBlank="1" showInputMessage="1" showErrorMessage="1" error="Enter a whole number." sqref="B97:C113 B67:B83 E121:H121 C67:C87 B120:B136 B147:C163" xr:uid="{00000000-0002-0000-0700-000009000000}">
      <formula1>-9999999999999</formula1>
      <formula2>9999999999999</formula2>
    </dataValidation>
    <dataValidation type="whole" allowBlank="1" showErrorMessage="1" prompt="_x000a_" sqref="B20 F33:G33 C32:D32 B31 B22:B26" xr:uid="{00000000-0002-0000-0700-00000A000000}">
      <formula1>0</formula1>
      <formula2>9.99999999999999E+23</formula2>
    </dataValidation>
    <dataValidation type="whole" allowBlank="1" showErrorMessage="1" sqref="B21" xr:uid="{00000000-0002-0000-0700-00000B000000}">
      <formula1>0</formula1>
      <formula2>9.99999999999999E+23</formula2>
    </dataValidation>
    <dataValidation type="whole" allowBlank="1" showInputMessage="1" showErrorMessage="1" error="Enter a negative number." prompt="Please enter negative number" sqref="B86" xr:uid="{00000000-0002-0000-0700-00000C000000}">
      <formula1>-9.99999999999999E+33</formula1>
      <formula2>0</formula2>
    </dataValidation>
    <dataValidation type="whole" allowBlank="1" showInputMessage="1" showErrorMessage="1" error="Enter a negative whole number." sqref="E122:H122" xr:uid="{00000000-0002-0000-0700-00000D000000}">
      <formula1>-9999999999999</formula1>
      <formula2>0</formula2>
    </dataValidation>
    <dataValidation type="decimal" allowBlank="1" showInputMessage="1" showErrorMessage="1" errorTitle="Give percentage to the hundreths" error="Give percentage to the hundreths, between 0 and 25.99" sqref="I72:I73" xr:uid="{00000000-0002-0000-0700-00000E000000}">
      <formula1>0</formula1>
      <formula2>25.99</formula2>
    </dataValidation>
    <dataValidation type="whole" allowBlank="1" showInputMessage="1" showErrorMessage="1" error="Enter a whole number" sqref="I68 I80 B27:D30" xr:uid="{00000000-0002-0000-0700-00000F000000}">
      <formula1>-9999999999999</formula1>
      <formula2>9999999999999</formula2>
    </dataValidation>
    <dataValidation type="whole" allowBlank="1" showErrorMessage="1" error="Enter a positive whole number." sqref="B84" xr:uid="{00000000-0002-0000-0700-000010000000}">
      <formula1>0</formula1>
      <formula2>9999999999999</formula2>
    </dataValidation>
    <dataValidation type="whole" allowBlank="1" showInputMessage="1" showErrorMessage="1" error="Enter a negative whole number." prompt="Please enter negative number" sqref="B140 B138" xr:uid="{00000000-0002-0000-0700-000011000000}">
      <formula1>-9999999999999</formula1>
      <formula2>0</formula2>
    </dataValidation>
    <dataValidation type="whole" allowBlank="1" showInputMessage="1" showErrorMessage="1" sqref="F97 F67 F147" xr:uid="{00000000-0002-0000-0700-000012000000}">
      <formula1>-9999999999999</formula1>
      <formula2>9999999999999</formula2>
    </dataValidation>
    <dataValidation type="whole" allowBlank="1" showErrorMessage="1" error="Enter a negative whole number." prompt="Please enter negative number" sqref="B85 B87" xr:uid="{734D3FDD-A9D8-4038-8F17-F99D0D31DF31}">
      <formula1>-9999999999999</formula1>
      <formula2>0</formula2>
    </dataValidation>
  </dataValidations>
  <pageMargins left="0.86" right="0.03" top="0.63" bottom="0.56999999999999995" header="0.25" footer="0.36"/>
  <pageSetup scale="54" orientation="portrait" cellComments="asDisplayed" r:id="rId5"/>
  <headerFooter alignWithMargins="0">
    <oddHeader>&amp;C&amp;"Times New Roman,Bold"Attachment CU4 - FASB Foundations
Financial Statement Template (FST)
&amp;A</oddHeader>
    <oddFooter>&amp;L&amp;"Times New Roman,Regular"&amp;F \ &amp;A&amp;RPage &amp;P</oddFooter>
  </headerFooter>
  <rowBreaks count="3" manualBreakCount="3">
    <brk id="116" max="8" man="1"/>
    <brk id="189" max="8" man="1"/>
    <brk id="203" max="16383" man="1"/>
  </rowBreaks>
  <ignoredErrors>
    <ignoredError sqref="D68:D71 D99:D101" formulaRange="1"/>
    <ignoredError sqref="I76:I77 I80" unlockedFormula="1"/>
  </ignoredErrors>
  <legacy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68"/>
  <sheetViews>
    <sheetView showGridLines="0" zoomScaleNormal="100" workbookViewId="0">
      <selection activeCell="B3" sqref="B3:F3"/>
    </sheetView>
  </sheetViews>
  <sheetFormatPr defaultColWidth="8.85546875" defaultRowHeight="11.25"/>
  <cols>
    <col min="1" max="1" width="32.7109375" style="1" customWidth="1"/>
    <col min="2" max="2" width="11.5703125" style="1" customWidth="1"/>
    <col min="3" max="3" width="14.85546875" style="1" customWidth="1"/>
    <col min="4" max="4" width="12.85546875" style="1" customWidth="1"/>
    <col min="5" max="5" width="22.42578125" style="1" customWidth="1"/>
    <col min="6" max="6" width="17.7109375" style="1" customWidth="1"/>
    <col min="7" max="7" width="17.42578125" style="1" customWidth="1"/>
    <col min="8" max="8" width="16.140625" style="1" customWidth="1"/>
    <col min="9" max="9" width="14.85546875" style="1" customWidth="1"/>
    <col min="10" max="10" width="10.5703125" style="1" customWidth="1"/>
    <col min="11" max="16384" width="8.85546875" style="1"/>
  </cols>
  <sheetData>
    <row r="1" spans="1:7" s="2" customFormat="1">
      <c r="A1" s="12" t="s">
        <v>392</v>
      </c>
      <c r="B1" s="755" t="str">
        <f>'Component Unit Template'!G1</f>
        <v/>
      </c>
      <c r="C1" s="756"/>
      <c r="D1" s="756"/>
      <c r="E1" s="756"/>
      <c r="F1" s="757"/>
      <c r="G1" s="145"/>
    </row>
    <row r="2" spans="1:7" s="2" customFormat="1" ht="16.5" customHeight="1">
      <c r="A2" s="12" t="s">
        <v>404</v>
      </c>
      <c r="B2" s="758" t="str">
        <f>IF('Component Unit Template'!G2="","",'Component Unit Template'!G2)</f>
        <v/>
      </c>
      <c r="C2" s="759"/>
      <c r="D2" s="759"/>
      <c r="E2" s="759"/>
      <c r="F2" s="759"/>
      <c r="G2" s="145"/>
    </row>
    <row r="3" spans="1:7" s="2" customFormat="1">
      <c r="A3" s="12" t="s">
        <v>438</v>
      </c>
      <c r="B3" s="760" t="str">
        <f>IF('Component Unit Template'!G3="","",'Component Unit Template'!G3)</f>
        <v/>
      </c>
      <c r="C3" s="761"/>
      <c r="D3" s="761"/>
      <c r="E3" s="761"/>
      <c r="F3" s="761"/>
      <c r="G3" s="145"/>
    </row>
    <row r="4" spans="1:7" s="2" customFormat="1">
      <c r="A4" s="12" t="s">
        <v>255</v>
      </c>
      <c r="B4" s="762" t="str">
        <f>IF('Component Unit Template'!G4="","",'Component Unit Template'!G4)</f>
        <v/>
      </c>
      <c r="C4" s="763"/>
      <c r="D4" s="763"/>
      <c r="E4" s="763"/>
      <c r="F4" s="763"/>
      <c r="G4" s="145"/>
    </row>
    <row r="5" spans="1:7" s="2" customFormat="1">
      <c r="A5" s="12" t="s">
        <v>511</v>
      </c>
      <c r="B5" s="764" t="str">
        <f>IF('Component Unit Template'!G5="","",'Component Unit Template'!G5)</f>
        <v/>
      </c>
      <c r="C5" s="765"/>
      <c r="D5" s="765"/>
      <c r="E5" s="765"/>
      <c r="F5" s="765"/>
      <c r="G5" s="145"/>
    </row>
    <row r="6" spans="1:7" s="2" customFormat="1">
      <c r="A6" s="12" t="s">
        <v>35</v>
      </c>
      <c r="B6" s="766" t="str">
        <f>IF('Component Unit Template'!G6="","",'Component Unit Template'!G6)</f>
        <v/>
      </c>
      <c r="C6" s="766"/>
      <c r="D6" s="766"/>
      <c r="E6" s="766"/>
      <c r="F6" s="766"/>
      <c r="G6" s="145"/>
    </row>
    <row r="7" spans="1:7" s="2" customFormat="1">
      <c r="A7" s="1"/>
      <c r="B7" s="146"/>
      <c r="C7" s="145"/>
      <c r="D7" s="145"/>
      <c r="E7" s="145"/>
      <c r="F7" s="145"/>
      <c r="G7" s="145"/>
    </row>
    <row r="8" spans="1:7" s="2" customFormat="1">
      <c r="A8" s="12" t="s">
        <v>923</v>
      </c>
      <c r="B8" s="146"/>
      <c r="C8" s="145"/>
      <c r="D8" s="145"/>
      <c r="E8" s="145"/>
      <c r="F8" s="145"/>
      <c r="G8" s="145"/>
    </row>
    <row r="9" spans="1:7" s="2" customFormat="1">
      <c r="A9" s="147" t="str">
        <f>'Component Unit Template'!A35</f>
        <v>For the Year Ended June 30, 2024</v>
      </c>
      <c r="B9" s="146"/>
      <c r="C9" s="145"/>
      <c r="D9" s="145"/>
      <c r="E9" s="145"/>
      <c r="F9" s="145"/>
      <c r="G9" s="145"/>
    </row>
    <row r="10" spans="1:7" s="2" customFormat="1">
      <c r="A10" s="1"/>
      <c r="B10" s="146"/>
      <c r="C10" s="145"/>
      <c r="D10" s="145"/>
      <c r="E10" s="145"/>
      <c r="F10" s="383" t="s">
        <v>36</v>
      </c>
      <c r="G10" s="145"/>
    </row>
    <row r="11" spans="1:7" s="2" customFormat="1" ht="16.5" customHeight="1">
      <c r="A11" s="1" t="s">
        <v>870</v>
      </c>
      <c r="B11" s="146"/>
      <c r="C11" s="145"/>
      <c r="D11" s="145"/>
      <c r="F11" s="356" t="s">
        <v>556</v>
      </c>
      <c r="G11" s="145"/>
    </row>
    <row r="12" spans="1:7" s="2" customFormat="1">
      <c r="A12" s="1" t="s">
        <v>380</v>
      </c>
      <c r="B12" s="146"/>
      <c r="C12" s="145"/>
      <c r="D12" s="145"/>
      <c r="F12" s="60"/>
      <c r="G12" s="145"/>
    </row>
    <row r="13" spans="1:7" s="2" customFormat="1">
      <c r="A13" s="1" t="s">
        <v>808</v>
      </c>
      <c r="B13" s="146"/>
      <c r="C13" s="145"/>
      <c r="D13" s="145"/>
      <c r="F13" s="60"/>
      <c r="G13" s="145"/>
    </row>
    <row r="14" spans="1:7" s="336" customFormat="1">
      <c r="A14" s="2"/>
    </row>
    <row r="15" spans="1:7" s="2" customFormat="1">
      <c r="A15" s="1" t="s">
        <v>604</v>
      </c>
      <c r="B15" s="146"/>
      <c r="C15" s="145"/>
      <c r="D15" s="145"/>
      <c r="E15" s="145"/>
      <c r="F15" s="145"/>
      <c r="G15" s="145"/>
    </row>
    <row r="16" spans="1:7">
      <c r="A16" s="1" t="s">
        <v>475</v>
      </c>
    </row>
    <row r="17" spans="1:9">
      <c r="A17" s="12"/>
    </row>
    <row r="19" spans="1:9">
      <c r="A19" s="1" t="s">
        <v>476</v>
      </c>
    </row>
    <row r="20" spans="1:9" ht="11.25" customHeight="1"/>
    <row r="22" spans="1:9" ht="36.6" customHeight="1">
      <c r="A22" s="776" t="s">
        <v>535</v>
      </c>
      <c r="B22" s="777"/>
      <c r="C22" s="777"/>
      <c r="D22" s="778"/>
      <c r="E22" s="148" t="s">
        <v>944</v>
      </c>
    </row>
    <row r="23" spans="1:9">
      <c r="A23" s="779"/>
      <c r="B23" s="780"/>
      <c r="C23" s="780"/>
      <c r="D23" s="781"/>
      <c r="E23" s="390"/>
    </row>
    <row r="24" spans="1:9">
      <c r="A24" s="779"/>
      <c r="B24" s="780"/>
      <c r="C24" s="780"/>
      <c r="D24" s="781"/>
      <c r="E24" s="390"/>
    </row>
    <row r="25" spans="1:9">
      <c r="A25" s="779"/>
      <c r="B25" s="780"/>
      <c r="C25" s="780"/>
      <c r="D25" s="781"/>
      <c r="E25" s="390"/>
    </row>
    <row r="26" spans="1:9">
      <c r="A26" s="779"/>
      <c r="B26" s="780"/>
      <c r="C26" s="780"/>
      <c r="D26" s="781"/>
      <c r="E26" s="390"/>
    </row>
    <row r="27" spans="1:9">
      <c r="A27" s="779"/>
      <c r="B27" s="780"/>
      <c r="C27" s="780"/>
      <c r="D27" s="781"/>
      <c r="E27" s="390"/>
    </row>
    <row r="28" spans="1:9">
      <c r="A28" s="779"/>
      <c r="B28" s="780"/>
      <c r="C28" s="780"/>
      <c r="D28" s="781"/>
      <c r="E28" s="390"/>
    </row>
    <row r="29" spans="1:9">
      <c r="A29" s="779"/>
      <c r="B29" s="780"/>
      <c r="C29" s="780"/>
      <c r="D29" s="781"/>
      <c r="E29" s="390"/>
    </row>
    <row r="30" spans="1:9">
      <c r="A30" s="779"/>
      <c r="B30" s="780"/>
      <c r="C30" s="780"/>
      <c r="D30" s="781"/>
      <c r="E30" s="390"/>
    </row>
    <row r="31" spans="1:9" ht="12" thickBot="1">
      <c r="A31" s="149"/>
      <c r="B31" s="149"/>
      <c r="C31" s="280" t="s">
        <v>594</v>
      </c>
      <c r="E31" s="339">
        <f>IF(SUM(E23:E30)='Component Unit Template'!K149,SUM(E23:E30),"ERROR")</f>
        <v>0</v>
      </c>
      <c r="G31" s="149"/>
      <c r="H31" s="149"/>
      <c r="I31" s="149"/>
    </row>
    <row r="32" spans="1:9" ht="12" thickTop="1">
      <c r="A32" s="149"/>
      <c r="B32" s="149"/>
      <c r="D32" s="137" t="s">
        <v>48</v>
      </c>
      <c r="E32" s="337">
        <f>SUM(E23:E30)-'Component Unit Template'!K149</f>
        <v>0</v>
      </c>
    </row>
    <row r="33" spans="1:5">
      <c r="A33" s="149"/>
      <c r="B33" s="149"/>
      <c r="D33" s="137"/>
      <c r="E33" s="397"/>
    </row>
    <row r="34" spans="1:5">
      <c r="A34" s="149"/>
      <c r="B34" s="149"/>
      <c r="C34" s="149"/>
      <c r="D34" s="149"/>
      <c r="E34" s="149"/>
    </row>
    <row r="35" spans="1:5">
      <c r="A35" s="772" t="s">
        <v>385</v>
      </c>
      <c r="B35" s="772"/>
      <c r="C35" s="772"/>
      <c r="D35" s="772"/>
      <c r="E35" s="772"/>
    </row>
    <row r="36" spans="1:5" ht="57.75" customHeight="1">
      <c r="A36" s="773" t="str">
        <f>IF(E31&gt;0,"Answer Required","N/A")</f>
        <v>N/A</v>
      </c>
      <c r="B36" s="774"/>
      <c r="C36" s="774"/>
      <c r="D36" s="774"/>
      <c r="E36" s="775"/>
    </row>
    <row r="42" spans="1:5" hidden="1">
      <c r="A42" s="1" t="s">
        <v>403</v>
      </c>
    </row>
    <row r="43" spans="1:5" hidden="1">
      <c r="A43" s="1" t="s">
        <v>492</v>
      </c>
    </row>
    <row r="66" spans="1:1" hidden="1">
      <c r="A66" s="1" t="s">
        <v>403</v>
      </c>
    </row>
    <row r="67" spans="1:1" hidden="1">
      <c r="A67" s="1" t="s">
        <v>492</v>
      </c>
    </row>
    <row r="68" spans="1:1" hidden="1">
      <c r="A68" s="1" t="s">
        <v>187</v>
      </c>
    </row>
  </sheetData>
  <sheetProtection algorithmName="SHA-512" hashValue="szqQxQMwIkt1jpe+Ycs9wH3JJ7LL1Qg4rg+sNIkM48hhYPhpvRRpvKLhpcwrgM3FY7zLG8xJy7i2nkOtNnNqYQ==" saltValue="AklZWdxPYsP6cg42HgyZ3A==" spinCount="100000" sheet="1" objects="1" scenarios="1"/>
  <dataConsolidate/>
  <customSheetViews>
    <customSheetView guid="{21549FED-0843-409C-B56D-2EB16B98EF5E}" showGridLines="0" fitToPage="1" hiddenRows="1">
      <selection activeCell="B3" sqref="B3:F3"/>
      <pageMargins left="0.5" right="0.31" top="1.04" bottom="1" header="0.5" footer="0.5"/>
      <pageSetup scale="77" orientation="portrait" cellComments="asDisplayed" r:id="rId1"/>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83B11BDE-9087-4120-8F71-87939A6C277C}" showGridLines="0" fitToPage="1" hiddenRows="1">
      <selection activeCell="L36" sqref="L36"/>
      <pageMargins left="0.5" right="0.31" top="1.04" bottom="1" header="0.5" footer="0.5"/>
      <pageSetup scale="87" orientation="portrait" cellComments="asDisplayed" r:id="rId2"/>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5A69DEB5-9E8B-40C6-849E-49B804F6ED86}" showGridLines="0" fitToPage="1" hiddenRows="1">
      <selection activeCell="L36" sqref="L36"/>
      <pageMargins left="0.5" right="0.31" top="1.04" bottom="1" header="0.5" footer="0.5"/>
      <pageSetup scale="87" orientation="portrait" cellComments="asDisplayed" r:id="rId3"/>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 guid="{C3905544-E3E5-4318-8AA2-F7DE16A9B8E7}" showGridLines="0" fitToPage="1" hiddenRows="1">
      <selection activeCell="L36" sqref="L36"/>
      <pageMargins left="0.5" right="0.31" top="1.04" bottom="1" header="0.5" footer="0.5"/>
      <pageSetup scale="87" orientation="portrait" cellComments="asDisplayed" r:id="rId4"/>
      <headerFooter alignWithMargins="0">
        <oddHeader>&amp;C&amp;"Times New Roman,Bold"Attachment CU4 - FASB Foundations
Financial Statement Template (FST)
&amp;A</oddHeader>
        <oddFooter>&amp;L&amp;"Times New Roman,Regular"&amp;F \ &amp;A&amp;R&amp;"Times New Roman,Regular" Page &amp;P</oddFooter>
      </headerFooter>
    </customSheetView>
  </customSheetViews>
  <mergeCells count="17">
    <mergeCell ref="A24:D24"/>
    <mergeCell ref="B1:F1"/>
    <mergeCell ref="B6:F6"/>
    <mergeCell ref="A35:E35"/>
    <mergeCell ref="A36:E36"/>
    <mergeCell ref="B2:F2"/>
    <mergeCell ref="B3:F3"/>
    <mergeCell ref="B4:F4"/>
    <mergeCell ref="B5:F5"/>
    <mergeCell ref="A22:D22"/>
    <mergeCell ref="A23:D23"/>
    <mergeCell ref="A30:D30"/>
    <mergeCell ref="A29:D29"/>
    <mergeCell ref="A28:D28"/>
    <mergeCell ref="A27:D27"/>
    <mergeCell ref="A26:D26"/>
    <mergeCell ref="A25:D25"/>
  </mergeCells>
  <phoneticPr fontId="26" type="noConversion"/>
  <conditionalFormatting sqref="A36:E36">
    <cfRule type="cellIs" dxfId="17" priority="1" operator="equal">
      <formula>"Answer Required"</formula>
    </cfRule>
  </conditionalFormatting>
  <conditionalFormatting sqref="F11">
    <cfRule type="cellIs" dxfId="16" priority="2" operator="equal">
      <formula>"Answer Required"</formula>
    </cfRule>
  </conditionalFormatting>
  <dataValidations count="2">
    <dataValidation type="list" allowBlank="1" showInputMessage="1" showErrorMessage="1" error="Use the drop-down list to enter Yes or No." sqref="F11" xr:uid="{00000000-0002-0000-0800-000000000000}">
      <formula1>$A$66:$A$67</formula1>
    </dataValidation>
    <dataValidation type="whole" allowBlank="1" showInputMessage="1" showErrorMessage="1" error="Enter a whole number" sqref="E23:E30" xr:uid="{00000000-0002-0000-0800-000001000000}">
      <formula1>-9999999999999</formula1>
      <formula2>9999999999999</formula2>
    </dataValidation>
  </dataValidations>
  <pageMargins left="0.75" right="0.06" top="1.04" bottom="1" header="0.5" footer="0.5"/>
  <pageSetup scale="67" orientation="portrait" cellComments="asDisplayed" r:id="rId5"/>
  <headerFooter alignWithMargins="0">
    <oddHeader>&amp;C&amp;"Times New Roman,Bold"Attachment CU4 - FASB Foundations
Financial Statement Template (FST)
&amp;A</oddHeader>
    <oddFooter>&amp;L&amp;"Times New Roman,Regular"&amp;F \ &amp;A&amp;RPage &amp;P</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Component Unit Template</vt:lpstr>
      <vt:lpstr>Prior Year Amounts</vt:lpstr>
      <vt:lpstr>Template Flux</vt:lpstr>
      <vt:lpstr>Tab 1A - Detail Fdn</vt:lpstr>
      <vt:lpstr>Tab 1B-Cash Eq. &amp; Inv. Not w Tr</vt:lpstr>
      <vt:lpstr>Tab 2 - Receivables</vt:lpstr>
      <vt:lpstr>Tab 3 - Capital Assets</vt:lpstr>
      <vt:lpstr>Tab 4 - LT Liabilities</vt:lpstr>
      <vt:lpstr>Tab 4A - Short-term Debt</vt:lpstr>
      <vt:lpstr>Tab 5 - Commitments</vt:lpstr>
      <vt:lpstr>Tab 6 - Restatements</vt:lpstr>
      <vt:lpstr>Tab 7 - Net Inv in Cap Assets</vt:lpstr>
      <vt:lpstr>Certification</vt:lpstr>
      <vt:lpstr>Revision Control Log</vt:lpstr>
      <vt:lpstr>Certification!Print_Area</vt:lpstr>
      <vt:lpstr>'Component Unit Template'!Print_Area</vt:lpstr>
      <vt:lpstr>'Prior Year Amounts'!Print_Area</vt:lpstr>
      <vt:lpstr>'Revision Control Log'!Print_Area</vt:lpstr>
      <vt:lpstr>'Tab 1A - Detail Fdn'!Print_Area</vt:lpstr>
      <vt:lpstr>'Tab 1B-Cash Eq. &amp; Inv. Not w Tr'!Print_Area</vt:lpstr>
      <vt:lpstr>'Tab 2 - Receivables'!Print_Area</vt:lpstr>
      <vt:lpstr>'Tab 3 - Capital Assets'!Print_Area</vt:lpstr>
      <vt:lpstr>'Tab 4 - LT Liabilities'!Print_Area</vt:lpstr>
      <vt:lpstr>'Tab 5 - Commitments'!Print_Area</vt:lpstr>
      <vt:lpstr>'Tab 6 - Restatements'!Print_Area</vt:lpstr>
      <vt:lpstr>'Tab 7 - Net Inv in Cap Assets'!Print_Area</vt:lpstr>
      <vt:lpstr>'Template Flux'!Print_Area</vt:lpstr>
      <vt:lpstr>'Revision Control Log'!Print_Titles</vt:lpstr>
      <vt:lpstr>'Tab 1B-Cash Eq. &amp; Inv. Not w Tr'!Print_Titles</vt:lpstr>
      <vt:lpstr>'Template Flux'!Print_Titles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Salminen</dc:creator>
  <cp:lastModifiedBy>Sotos, John (DOA)</cp:lastModifiedBy>
  <cp:lastPrinted>2024-04-15T13:01:35Z</cp:lastPrinted>
  <dcterms:created xsi:type="dcterms:W3CDTF">2003-04-08T13:50:41Z</dcterms:created>
  <dcterms:modified xsi:type="dcterms:W3CDTF">2024-05-20T12:16:04Z</dcterms:modified>
</cp:coreProperties>
</file>